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jpeg" ContentType="image/jpeg"/>
  <Default Extension="JPG" ContentType="image/.jpg"/>
  <Default Extension="gif" ContentType="image/gif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32000" windowHeight="10920"/>
  </bookViews>
  <sheets>
    <sheet name="Sheet1" sheetId="2" r:id="rId1"/>
    <sheet name="WpsReserved_CellImgList" sheetId="4" state="veryHidden" r:id="rId2"/>
  </sheets>
  <definedNames>
    <definedName name="_xlnm._FilterDatabase" localSheetId="0" hidden="1">Sheet1!$A$1:$K$923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666" name="ID_0CF5609107FA41A2B1DD8EF1C67FB07A" descr="core_image_url__exec_download_1122518303"/>
        <xdr:cNvPicPr/>
      </xdr:nvPicPr>
      <xdr:blipFill>
        <a:blip r:embed="rId1"/>
        <a:stretch>
          <a:fillRect/>
        </a:stretch>
      </xdr:blipFill>
      <xdr:spPr>
        <a:xfrm>
          <a:off x="0" y="0"/>
          <a:ext cx="1543050" cy="952500"/>
        </a:xfrm>
        <a:prstGeom prst="rect">
          <a:avLst/>
        </a:prstGeom>
      </xdr:spPr>
    </xdr:pic>
  </etc:cellImage>
  <etc:cellImage>
    <xdr:pic>
      <xdr:nvPicPr>
        <xdr:cNvPr id="662" name="ID_2577DE55397A40AC8ACB668CF92570D7" descr="core_image_url__exec_download_785517743"/>
        <xdr:cNvPicPr/>
      </xdr:nvPicPr>
      <xdr:blipFill>
        <a:blip r:embed="rId2"/>
        <a:stretch>
          <a:fillRect/>
        </a:stretch>
      </xdr:blipFill>
      <xdr:spPr>
        <a:xfrm>
          <a:off x="0" y="0"/>
          <a:ext cx="990600" cy="1228725"/>
        </a:xfrm>
        <a:prstGeom prst="rect">
          <a:avLst/>
        </a:prstGeom>
      </xdr:spPr>
    </xdr:pic>
  </etc:cellImage>
  <etc:cellImage>
    <xdr:pic>
      <xdr:nvPicPr>
        <xdr:cNvPr id="634" name="ID_D6EBF1A2C40F425C81E002E2E9EFB5DB" descr="core_image_url__exec_download_367994175"/>
        <xdr:cNvPicPr/>
      </xdr:nvPicPr>
      <xdr:blipFill>
        <a:blip r:embed="rId3"/>
        <a:stretch>
          <a:fillRect/>
        </a:stretch>
      </xdr:blipFill>
      <xdr:spPr>
        <a:xfrm>
          <a:off x="0" y="0"/>
          <a:ext cx="1752600" cy="828675"/>
        </a:xfrm>
        <a:prstGeom prst="rect">
          <a:avLst/>
        </a:prstGeom>
      </xdr:spPr>
    </xdr:pic>
  </etc:cellImage>
  <etc:cellImage>
    <xdr:pic>
      <xdr:nvPicPr>
        <xdr:cNvPr id="629" name="ID_C56968A947D1473DA109B775FF3B179C" descr="core_image_url__exec_download_2834311408"/>
        <xdr:cNvPicPr/>
      </xdr:nvPicPr>
      <xdr:blipFill>
        <a:blip r:embed="rId4"/>
        <a:stretch>
          <a:fillRect/>
        </a:stretch>
      </xdr:blipFill>
      <xdr:spPr>
        <a:xfrm>
          <a:off x="0" y="0"/>
          <a:ext cx="1095375" cy="1000125"/>
        </a:xfrm>
        <a:prstGeom prst="rect">
          <a:avLst/>
        </a:prstGeom>
      </xdr:spPr>
    </xdr:pic>
  </etc:cellImage>
  <etc:cellImage>
    <xdr:pic>
      <xdr:nvPicPr>
        <xdr:cNvPr id="625" name="ID_E1953C7252B14047BF81AF3A8D3692D2" descr="core_image_url__exec_download_3629513741"/>
        <xdr:cNvPicPr/>
      </xdr:nvPicPr>
      <xdr:blipFill>
        <a:blip r:embed="rId5"/>
        <a:stretch>
          <a:fillRect/>
        </a:stretch>
      </xdr:blipFill>
      <xdr:spPr>
        <a:xfrm>
          <a:off x="0" y="0"/>
          <a:ext cx="2190750" cy="476250"/>
        </a:xfrm>
        <a:prstGeom prst="rect">
          <a:avLst/>
        </a:prstGeom>
      </xdr:spPr>
    </xdr:pic>
  </etc:cellImage>
  <etc:cellImage>
    <xdr:pic>
      <xdr:nvPicPr>
        <xdr:cNvPr id="554" name="ID_19C7B427E9ED4D878A1644E762B0B8E4" descr="core_image_url__exec_download_3355484404"/>
        <xdr:cNvPicPr/>
      </xdr:nvPicPr>
      <xdr:blipFill>
        <a:blip r:embed="rId6"/>
        <a:stretch>
          <a:fillRect/>
        </a:stretch>
      </xdr:blipFill>
      <xdr:spPr>
        <a:xfrm>
          <a:off x="0" y="0"/>
          <a:ext cx="2514600" cy="2495550"/>
        </a:xfrm>
        <a:prstGeom prst="rect">
          <a:avLst/>
        </a:prstGeom>
      </xdr:spPr>
    </xdr:pic>
  </etc:cellImage>
  <etc:cellImage>
    <xdr:pic>
      <xdr:nvPicPr>
        <xdr:cNvPr id="397" name="ID_DEF0AFF16B8D4CC7811064E4664F4C21" descr="core_image_url__exec_download_1167404073"/>
        <xdr:cNvPicPr/>
      </xdr:nvPicPr>
      <xdr:blipFill>
        <a:blip r:embed="rId7"/>
        <a:stretch>
          <a:fillRect/>
        </a:stretch>
      </xdr:blipFill>
      <xdr:spPr>
        <a:xfrm>
          <a:off x="0" y="0"/>
          <a:ext cx="2095500" cy="714375"/>
        </a:xfrm>
        <a:prstGeom prst="rect">
          <a:avLst/>
        </a:prstGeom>
      </xdr:spPr>
    </xdr:pic>
  </etc:cellImage>
  <etc:cellImage>
    <xdr:pic>
      <xdr:nvPicPr>
        <xdr:cNvPr id="341" name="ID_84444F3E109942D382A16087AF3980FA" descr="core_image_url__exec_download_1798697060"/>
        <xdr:cNvPicPr/>
      </xdr:nvPicPr>
      <xdr:blipFill>
        <a:blip r:embed="rId8"/>
        <a:stretch>
          <a:fillRect/>
        </a:stretch>
      </xdr:blipFill>
      <xdr:spPr>
        <a:xfrm>
          <a:off x="0" y="0"/>
          <a:ext cx="1809750" cy="1219200"/>
        </a:xfrm>
        <a:prstGeom prst="rect">
          <a:avLst/>
        </a:prstGeom>
      </xdr:spPr>
    </xdr:pic>
  </etc:cellImage>
  <etc:cellImage>
    <xdr:pic>
      <xdr:nvPicPr>
        <xdr:cNvPr id="426" name="ID_83AA5CBE6AEA4EE287637041D8534BB7" descr="core_image_url__exec_download_3182693677"/>
        <xdr:cNvPicPr/>
      </xdr:nvPicPr>
      <xdr:blipFill>
        <a:blip r:embed="rId9"/>
        <a:stretch>
          <a:fillRect/>
        </a:stretch>
      </xdr:blipFill>
      <xdr:spPr>
        <a:xfrm>
          <a:off x="0" y="0"/>
          <a:ext cx="1924050" cy="666750"/>
        </a:xfrm>
        <a:prstGeom prst="rect">
          <a:avLst/>
        </a:prstGeom>
      </xdr:spPr>
    </xdr:pic>
  </etc:cellImage>
  <etc:cellImage>
    <xdr:pic>
      <xdr:nvPicPr>
        <xdr:cNvPr id="310" name="ID_730D88A7E9A14D65BB8670753A4E54BF" descr="core_image_url__exec_download_4128974934"/>
        <xdr:cNvPicPr/>
      </xdr:nvPicPr>
      <xdr:blipFill>
        <a:blip r:embed="rId10"/>
        <a:stretch>
          <a:fillRect/>
        </a:stretch>
      </xdr:blipFill>
      <xdr:spPr>
        <a:xfrm>
          <a:off x="0" y="0"/>
          <a:ext cx="1301750" cy="1092200"/>
        </a:xfrm>
        <a:prstGeom prst="rect">
          <a:avLst/>
        </a:prstGeom>
      </xdr:spPr>
    </xdr:pic>
  </etc:cellImage>
  <etc:cellImage>
    <xdr:pic>
      <xdr:nvPicPr>
        <xdr:cNvPr id="558" name="ID_BA6B9456FE994902B4E8AF265C805BEB" descr="core_image_url__exec_download_1635837262"/>
        <xdr:cNvPicPr/>
      </xdr:nvPicPr>
      <xdr:blipFill>
        <a:blip r:embed="rId11"/>
        <a:stretch>
          <a:fillRect/>
        </a:stretch>
      </xdr:blipFill>
      <xdr:spPr>
        <a:xfrm>
          <a:off x="0" y="0"/>
          <a:ext cx="2644140" cy="2049780"/>
        </a:xfrm>
        <a:prstGeom prst="rect">
          <a:avLst/>
        </a:prstGeom>
      </xdr:spPr>
    </xdr:pic>
  </etc:cellImage>
  <etc:cellImage>
    <xdr:pic>
      <xdr:nvPicPr>
        <xdr:cNvPr id="325" name="ID_256083145A654B50BE260C163AA78C77" descr="core_image_url__exec_download_21511347"/>
        <xdr:cNvPicPr/>
      </xdr:nvPicPr>
      <xdr:blipFill>
        <a:blip r:embed="rId12"/>
        <a:stretch>
          <a:fillRect/>
        </a:stretch>
      </xdr:blipFill>
      <xdr:spPr>
        <a:xfrm>
          <a:off x="0" y="0"/>
          <a:ext cx="1743075" cy="981075"/>
        </a:xfrm>
        <a:prstGeom prst="rect">
          <a:avLst/>
        </a:prstGeom>
      </xdr:spPr>
    </xdr:pic>
  </etc:cellImage>
  <etc:cellImage>
    <xdr:pic>
      <xdr:nvPicPr>
        <xdr:cNvPr id="348" name="ID_B8F17D0937DA4B179D47A460B4A6CD9B" descr="core_image_url__exec_download_1930227765"/>
        <xdr:cNvPicPr/>
      </xdr:nvPicPr>
      <xdr:blipFill>
        <a:blip r:embed="rId13"/>
        <a:stretch>
          <a:fillRect/>
        </a:stretch>
      </xdr:blipFill>
      <xdr:spPr>
        <a:xfrm>
          <a:off x="0" y="0"/>
          <a:ext cx="754380" cy="411480"/>
        </a:xfrm>
        <a:prstGeom prst="rect">
          <a:avLst/>
        </a:prstGeom>
      </xdr:spPr>
    </xdr:pic>
  </etc:cellImage>
  <etc:cellImage>
    <xdr:pic>
      <xdr:nvPicPr>
        <xdr:cNvPr id="260" name="ID_0F81C5BF338847A683837F6E835249F8" descr="core_image_url__exec_download_1712613007"/>
        <xdr:cNvPicPr/>
      </xdr:nvPicPr>
      <xdr:blipFill>
        <a:blip r:embed="rId14"/>
        <a:stretch>
          <a:fillRect/>
        </a:stretch>
      </xdr:blipFill>
      <xdr:spPr>
        <a:xfrm>
          <a:off x="0" y="0"/>
          <a:ext cx="1104900" cy="800100"/>
        </a:xfrm>
        <a:prstGeom prst="rect">
          <a:avLst/>
        </a:prstGeom>
      </xdr:spPr>
    </xdr:pic>
  </etc:cellImage>
  <etc:cellImage>
    <xdr:pic>
      <xdr:nvPicPr>
        <xdr:cNvPr id="343" name="ID_94531AA2AE3B4B2F8FE99A846BA2A0E3" descr="core_image_url__exec_download_3590812983"/>
        <xdr:cNvPicPr/>
      </xdr:nvPicPr>
      <xdr:blipFill>
        <a:blip r:embed="rId15"/>
        <a:stretch>
          <a:fillRect/>
        </a:stretch>
      </xdr:blipFill>
      <xdr:spPr>
        <a:xfrm>
          <a:off x="0" y="0"/>
          <a:ext cx="319405" cy="708660"/>
        </a:xfrm>
        <a:prstGeom prst="rect">
          <a:avLst/>
        </a:prstGeom>
      </xdr:spPr>
    </xdr:pic>
  </etc:cellImage>
  <etc:cellImage>
    <xdr:pic>
      <xdr:nvPicPr>
        <xdr:cNvPr id="586" name="ID_1344B954D36844F1A459372D7F1C8064" descr="core_image_url__exec_download_2321286774"/>
        <xdr:cNvPicPr/>
      </xdr:nvPicPr>
      <xdr:blipFill>
        <a:blip r:embed="rId16"/>
        <a:stretch>
          <a:fillRect/>
        </a:stretch>
      </xdr:blipFill>
      <xdr:spPr>
        <a:xfrm>
          <a:off x="0" y="0"/>
          <a:ext cx="1455420" cy="967740"/>
        </a:xfrm>
        <a:prstGeom prst="rect">
          <a:avLst/>
        </a:prstGeom>
      </xdr:spPr>
    </xdr:pic>
  </etc:cellImage>
  <etc:cellImage>
    <xdr:pic>
      <xdr:nvPicPr>
        <xdr:cNvPr id="252" name="ID_2DAEB8C13B7A43ED99ADA44B68357038" descr="core_image_url__exec_download_2455350434"/>
        <xdr:cNvPicPr/>
      </xdr:nvPicPr>
      <xdr:blipFill>
        <a:blip r:embed="rId17"/>
        <a:stretch>
          <a:fillRect/>
        </a:stretch>
      </xdr:blipFill>
      <xdr:spPr>
        <a:xfrm>
          <a:off x="0" y="0"/>
          <a:ext cx="1038225" cy="742950"/>
        </a:xfrm>
        <a:prstGeom prst="rect">
          <a:avLst/>
        </a:prstGeom>
      </xdr:spPr>
    </xdr:pic>
  </etc:cellImage>
  <etc:cellImage>
    <xdr:pic>
      <xdr:nvPicPr>
        <xdr:cNvPr id="668" name="ID_8C197FBB9ADD4FF3858009CF5FAFF18D" descr="core_image_url__exec_download_1949520049"/>
        <xdr:cNvPicPr/>
      </xdr:nvPicPr>
      <xdr:blipFill>
        <a:blip r:embed="rId18"/>
        <a:stretch>
          <a:fillRect/>
        </a:stretch>
      </xdr:blipFill>
      <xdr:spPr>
        <a:xfrm>
          <a:off x="0" y="0"/>
          <a:ext cx="2667000" cy="2857500"/>
        </a:xfrm>
        <a:prstGeom prst="rect">
          <a:avLst/>
        </a:prstGeom>
      </xdr:spPr>
    </xdr:pic>
  </etc:cellImage>
  <etc:cellImage>
    <xdr:pic>
      <xdr:nvPicPr>
        <xdr:cNvPr id="679" name="ID_68653EE0E1CC4AD9A19ADB3D88629635" descr="core_image_url__exec_download_1990728985"/>
        <xdr:cNvPicPr/>
      </xdr:nvPicPr>
      <xdr:blipFill>
        <a:blip r:embed="rId19"/>
        <a:stretch>
          <a:fillRect/>
        </a:stretch>
      </xdr:blipFill>
      <xdr:spPr>
        <a:xfrm>
          <a:off x="0" y="0"/>
          <a:ext cx="5105400" cy="3400425"/>
        </a:xfrm>
        <a:prstGeom prst="rect">
          <a:avLst/>
        </a:prstGeom>
      </xdr:spPr>
    </xdr:pic>
  </etc:cellImage>
  <etc:cellImage>
    <xdr:pic>
      <xdr:nvPicPr>
        <xdr:cNvPr id="187" name="ID_E9F0B6DAFDD94878B68CF3AF389E1EE1" descr="core_image_url__exec_download_1613867401"/>
        <xdr:cNvPicPr/>
      </xdr:nvPicPr>
      <xdr:blipFill>
        <a:blip r:embed="rId20"/>
        <a:stretch>
          <a:fillRect/>
        </a:stretch>
      </xdr:blipFill>
      <xdr:spPr>
        <a:xfrm>
          <a:off x="0" y="0"/>
          <a:ext cx="1895475" cy="590550"/>
        </a:xfrm>
        <a:prstGeom prst="rect">
          <a:avLst/>
        </a:prstGeom>
      </xdr:spPr>
    </xdr:pic>
  </etc:cellImage>
  <etc:cellImage>
    <xdr:pic>
      <xdr:nvPicPr>
        <xdr:cNvPr id="184" name="ID_B4D728065DE1425B82EDEAB02F2CC040" descr="core_image_url__exec_download_1904138300"/>
        <xdr:cNvPicPr/>
      </xdr:nvPicPr>
      <xdr:blipFill>
        <a:blip r:embed="rId21"/>
        <a:stretch>
          <a:fillRect/>
        </a:stretch>
      </xdr:blipFill>
      <xdr:spPr>
        <a:xfrm>
          <a:off x="0" y="0"/>
          <a:ext cx="1628775" cy="1295400"/>
        </a:xfrm>
        <a:prstGeom prst="rect">
          <a:avLst/>
        </a:prstGeom>
      </xdr:spPr>
    </xdr:pic>
  </etc:cellImage>
  <etc:cellImage>
    <xdr:pic>
      <xdr:nvPicPr>
        <xdr:cNvPr id="678" name="ID_36E313895AD744099C5087D4FB9D2BB1" descr="core_image_url__exec_download_280632381"/>
        <xdr:cNvPicPr/>
      </xdr:nvPicPr>
      <xdr:blipFill>
        <a:blip r:embed="rId22"/>
        <a:stretch>
          <a:fillRect/>
        </a:stretch>
      </xdr:blipFill>
      <xdr:spPr>
        <a:xfrm>
          <a:off x="0" y="0"/>
          <a:ext cx="5105400" cy="2276475"/>
        </a:xfrm>
        <a:prstGeom prst="rect">
          <a:avLst/>
        </a:prstGeom>
      </xdr:spPr>
    </xdr:pic>
  </etc:cellImage>
  <etc:cellImage>
    <xdr:pic>
      <xdr:nvPicPr>
        <xdr:cNvPr id="410" name="ID_7A56C3F41B2A4A2ABCACE95825BAC176" descr="core_image_url__exec_download_2246121021"/>
        <xdr:cNvPicPr/>
      </xdr:nvPicPr>
      <xdr:blipFill>
        <a:blip r:embed="rId23"/>
        <a:stretch>
          <a:fillRect/>
        </a:stretch>
      </xdr:blipFill>
      <xdr:spPr>
        <a:xfrm>
          <a:off x="0" y="0"/>
          <a:ext cx="678180" cy="213360"/>
        </a:xfrm>
        <a:prstGeom prst="rect">
          <a:avLst/>
        </a:prstGeom>
      </xdr:spPr>
    </xdr:pic>
  </etc:cellImage>
  <etc:cellImage>
    <xdr:pic>
      <xdr:nvPicPr>
        <xdr:cNvPr id="146" name="ID_63E7DF9E466D4C8FBAB08B81E1D586F8" descr="core_image_url__exec_download_3290892456"/>
        <xdr:cNvPicPr/>
      </xdr:nvPicPr>
      <xdr:blipFill>
        <a:blip r:embed="rId24"/>
        <a:stretch>
          <a:fillRect/>
        </a:stretch>
      </xdr:blipFill>
      <xdr:spPr>
        <a:xfrm>
          <a:off x="0" y="0"/>
          <a:ext cx="2162175" cy="2105025"/>
        </a:xfrm>
        <a:prstGeom prst="rect">
          <a:avLst/>
        </a:prstGeom>
      </xdr:spPr>
    </xdr:pic>
  </etc:cellImage>
  <etc:cellImage>
    <xdr:pic>
      <xdr:nvPicPr>
        <xdr:cNvPr id="672" name="ID_A3F218A45AE94E02A8B7AB8D53002D8A" descr="core_image_url__exec_download_1312946208"/>
        <xdr:cNvPicPr/>
      </xdr:nvPicPr>
      <xdr:blipFill>
        <a:blip r:embed="rId25"/>
        <a:stretch>
          <a:fillRect/>
        </a:stretch>
      </xdr:blipFill>
      <xdr:spPr>
        <a:xfrm>
          <a:off x="0" y="0"/>
          <a:ext cx="5105400" cy="3400425"/>
        </a:xfrm>
        <a:prstGeom prst="rect">
          <a:avLst/>
        </a:prstGeom>
      </xdr:spPr>
    </xdr:pic>
  </etc:cellImage>
  <etc:cellImage>
    <xdr:pic>
      <xdr:nvPicPr>
        <xdr:cNvPr id="670" name="ID_606A1B4B3C914FB7B65E2CC442024590" descr="core_image_url__exec_download_2149222635"/>
        <xdr:cNvPicPr/>
      </xdr:nvPicPr>
      <xdr:blipFill>
        <a:blip r:embed="rId26"/>
        <a:stretch>
          <a:fillRect/>
        </a:stretch>
      </xdr:blipFill>
      <xdr:spPr>
        <a:xfrm>
          <a:off x="0" y="0"/>
          <a:ext cx="5105400" cy="3200400"/>
        </a:xfrm>
        <a:prstGeom prst="rect">
          <a:avLst/>
        </a:prstGeom>
      </xdr:spPr>
    </xdr:pic>
  </etc:cellImage>
  <etc:cellImage>
    <xdr:pic>
      <xdr:nvPicPr>
        <xdr:cNvPr id="125" name="ID_D4E9C56C1F154E7992E9D1F56780F72A" descr="core_image_url__exec_download_3314763681"/>
        <xdr:cNvPicPr/>
      </xdr:nvPicPr>
      <xdr:blipFill>
        <a:blip r:embed="rId27"/>
        <a:stretch>
          <a:fillRect/>
        </a:stretch>
      </xdr:blipFill>
      <xdr:spPr>
        <a:xfrm>
          <a:off x="0" y="0"/>
          <a:ext cx="1504950" cy="1416050"/>
        </a:xfrm>
        <a:prstGeom prst="rect">
          <a:avLst/>
        </a:prstGeom>
      </xdr:spPr>
    </xdr:pic>
  </etc:cellImage>
  <etc:cellImage>
    <xdr:pic>
      <xdr:nvPicPr>
        <xdr:cNvPr id="97" name="ID_BA270DE8283A49BC912A7D64F47744FB" descr="core_image_url__exec_download_3163927250"/>
        <xdr:cNvPicPr/>
      </xdr:nvPicPr>
      <xdr:blipFill>
        <a:blip r:embed="rId28"/>
        <a:stretch>
          <a:fillRect/>
        </a:stretch>
      </xdr:blipFill>
      <xdr:spPr>
        <a:xfrm>
          <a:off x="0" y="0"/>
          <a:ext cx="2882900" cy="1924050"/>
        </a:xfrm>
        <a:prstGeom prst="rect">
          <a:avLst/>
        </a:prstGeom>
      </xdr:spPr>
    </xdr:pic>
  </etc:cellImage>
  <etc:cellImage>
    <xdr:pic>
      <xdr:nvPicPr>
        <xdr:cNvPr id="255" name="ID_7EEF254320774FACB545BB91F148E8CA" descr="core_image_url__exec_download_2456163368"/>
        <xdr:cNvPicPr/>
      </xdr:nvPicPr>
      <xdr:blipFill>
        <a:blip r:embed="rId29"/>
        <a:stretch>
          <a:fillRect/>
        </a:stretch>
      </xdr:blipFill>
      <xdr:spPr>
        <a:xfrm>
          <a:off x="0" y="0"/>
          <a:ext cx="1009650" cy="1073150"/>
        </a:xfrm>
        <a:prstGeom prst="rect">
          <a:avLst/>
        </a:prstGeom>
      </xdr:spPr>
    </xdr:pic>
  </etc:cellImage>
  <etc:cellImage>
    <xdr:pic>
      <xdr:nvPicPr>
        <xdr:cNvPr id="37" name="ID_AE3EDCE2F2E04B15830070A6EA6FA2B1" descr="core_image_url__exec_download_1479328438"/>
        <xdr:cNvPicPr/>
      </xdr:nvPicPr>
      <xdr:blipFill>
        <a:blip r:embed="rId30"/>
        <a:stretch>
          <a:fillRect/>
        </a:stretch>
      </xdr:blipFill>
      <xdr:spPr>
        <a:xfrm>
          <a:off x="0" y="0"/>
          <a:ext cx="952500" cy="971550"/>
        </a:xfrm>
        <a:prstGeom prst="rect">
          <a:avLst/>
        </a:prstGeom>
      </xdr:spPr>
    </xdr:pic>
  </etc:cellImage>
  <etc:cellImage>
    <xdr:pic>
      <xdr:nvPicPr>
        <xdr:cNvPr id="677" name="ID_F8E18F153EBC45499D68155377FCBBFF" descr="core_image_url__exec_download_3511598489"/>
        <xdr:cNvPicPr/>
      </xdr:nvPicPr>
      <xdr:blipFill>
        <a:blip r:embed="rId31"/>
        <a:stretch>
          <a:fillRect/>
        </a:stretch>
      </xdr:blipFill>
      <xdr:spPr>
        <a:xfrm>
          <a:off x="0" y="0"/>
          <a:ext cx="5105400" cy="2933700"/>
        </a:xfrm>
        <a:prstGeom prst="rect">
          <a:avLst/>
        </a:prstGeom>
      </xdr:spPr>
    </xdr:pic>
  </etc:cellImage>
  <etc:cellImage>
    <xdr:pic>
      <xdr:nvPicPr>
        <xdr:cNvPr id="57" name="ID_CADAABC639984186BA1CD902C802BDFE" descr="core_image_url__exec_download_1971962490"/>
        <xdr:cNvPicPr/>
      </xdr:nvPicPr>
      <xdr:blipFill>
        <a:blip r:embed="rId32"/>
        <a:stretch>
          <a:fillRect/>
        </a:stretch>
      </xdr:blipFill>
      <xdr:spPr>
        <a:xfrm>
          <a:off x="0" y="0"/>
          <a:ext cx="1110615" cy="876300"/>
        </a:xfrm>
        <a:prstGeom prst="rect">
          <a:avLst/>
        </a:prstGeom>
      </xdr:spPr>
    </xdr:pic>
  </etc:cellImage>
  <etc:cellImage>
    <xdr:pic>
      <xdr:nvPicPr>
        <xdr:cNvPr id="656" name="ID_F1E0E01360E94AED844A10B6C2BCA82F" descr="564"/>
        <xdr:cNvPicPr/>
      </xdr:nvPicPr>
      <xdr:blipFill>
        <a:blip r:embed="rId33"/>
        <a:srcRect/>
        <a:stretch>
          <a:fillRect/>
        </a:stretch>
      </xdr:blipFill>
      <xdr:spPr>
        <a:xfrm>
          <a:off x="1746250" y="249555000"/>
          <a:ext cx="739775" cy="369570"/>
        </a:xfrm>
        <a:prstGeom prst="rect">
          <a:avLst/>
        </a:prstGeom>
        <a:noFill/>
      </xdr:spPr>
    </xdr:pic>
  </etc:cellImage>
  <etc:cellImage>
    <xdr:pic>
      <xdr:nvPicPr>
        <xdr:cNvPr id="655" name="ID_BEAFDD550BE74A0A8D0CB111BED21806" descr="565"/>
        <xdr:cNvPicPr/>
      </xdr:nvPicPr>
      <xdr:blipFill>
        <a:blip r:embed="rId34"/>
        <a:srcRect/>
        <a:stretch>
          <a:fillRect/>
        </a:stretch>
      </xdr:blipFill>
      <xdr:spPr>
        <a:xfrm>
          <a:off x="1746250" y="249174000"/>
          <a:ext cx="648335" cy="365760"/>
        </a:xfrm>
        <a:prstGeom prst="rect">
          <a:avLst/>
        </a:prstGeom>
        <a:noFill/>
      </xdr:spPr>
    </xdr:pic>
  </etc:cellImage>
  <etc:cellImage>
    <xdr:pic>
      <xdr:nvPicPr>
        <xdr:cNvPr id="652" name="ID_02A94D9A6E1841498392CB2B426839C9" descr="563"/>
        <xdr:cNvPicPr/>
      </xdr:nvPicPr>
      <xdr:blipFill>
        <a:blip r:embed="rId35"/>
        <a:srcRect/>
        <a:stretch>
          <a:fillRect/>
        </a:stretch>
      </xdr:blipFill>
      <xdr:spPr>
        <a:xfrm>
          <a:off x="1755140" y="248042430"/>
          <a:ext cx="896620" cy="360045"/>
        </a:xfrm>
        <a:prstGeom prst="rect">
          <a:avLst/>
        </a:prstGeom>
        <a:noFill/>
      </xdr:spPr>
    </xdr:pic>
  </etc:cellImage>
  <etc:cellImage>
    <xdr:pic>
      <xdr:nvPicPr>
        <xdr:cNvPr id="651" name="ID_943CB92D6D4C4B508034AEB764926A4F" descr="561"/>
        <xdr:cNvPicPr/>
      </xdr:nvPicPr>
      <xdr:blipFill>
        <a:blip r:embed="rId36"/>
        <a:srcRect/>
        <a:stretch>
          <a:fillRect/>
        </a:stretch>
      </xdr:blipFill>
      <xdr:spPr>
        <a:xfrm>
          <a:off x="1746250" y="247650000"/>
          <a:ext cx="657225" cy="370205"/>
        </a:xfrm>
        <a:prstGeom prst="rect">
          <a:avLst/>
        </a:prstGeom>
        <a:noFill/>
      </xdr:spPr>
    </xdr:pic>
  </etc:cellImage>
  <etc:cellImage>
    <xdr:pic>
      <xdr:nvPicPr>
        <xdr:cNvPr id="650" name="ID_A042BAFEB9114D9FB121B6128D77496C" descr="560"/>
        <xdr:cNvPicPr/>
      </xdr:nvPicPr>
      <xdr:blipFill>
        <a:blip r:embed="rId37"/>
        <a:srcRect/>
        <a:stretch>
          <a:fillRect/>
        </a:stretch>
      </xdr:blipFill>
      <xdr:spPr>
        <a:xfrm>
          <a:off x="1746250" y="247269000"/>
          <a:ext cx="810260" cy="367665"/>
        </a:xfrm>
        <a:prstGeom prst="rect">
          <a:avLst/>
        </a:prstGeom>
        <a:noFill/>
      </xdr:spPr>
    </xdr:pic>
  </etc:cellImage>
  <etc:cellImage>
    <xdr:pic>
      <xdr:nvPicPr>
        <xdr:cNvPr id="602" name="ID_2AECBA8FDED2460F879DEFD867FE1FAC" descr="core_image_url__exec_download_1954481716"/>
        <xdr:cNvPicPr/>
      </xdr:nvPicPr>
      <xdr:blipFill>
        <a:blip r:embed="rId38"/>
        <a:stretch>
          <a:fillRect/>
        </a:stretch>
      </xdr:blipFill>
      <xdr:spPr>
        <a:xfrm>
          <a:off x="0" y="0"/>
          <a:ext cx="2377440" cy="1615440"/>
        </a:xfrm>
        <a:prstGeom prst="rect">
          <a:avLst/>
        </a:prstGeom>
      </xdr:spPr>
    </xdr:pic>
  </etc:cellImage>
  <etc:cellImage>
    <xdr:pic>
      <xdr:nvPicPr>
        <xdr:cNvPr id="649" name="ID_DB16EBCED8D34F6D88D006F490C74652" descr="559"/>
        <xdr:cNvPicPr/>
      </xdr:nvPicPr>
      <xdr:blipFill>
        <a:blip r:embed="rId39"/>
        <a:srcRect/>
        <a:stretch>
          <a:fillRect/>
        </a:stretch>
      </xdr:blipFill>
      <xdr:spPr>
        <a:xfrm>
          <a:off x="1746250" y="246888000"/>
          <a:ext cx="408305" cy="371475"/>
        </a:xfrm>
        <a:prstGeom prst="rect">
          <a:avLst/>
        </a:prstGeom>
        <a:noFill/>
      </xdr:spPr>
    </xdr:pic>
  </etc:cellImage>
  <etc:cellImage>
    <xdr:pic>
      <xdr:nvPicPr>
        <xdr:cNvPr id="648" name="ID_830265629BC64662978A97C42BC09A46" descr="557"/>
        <xdr:cNvPicPr/>
      </xdr:nvPicPr>
      <xdr:blipFill>
        <a:blip r:embed="rId40"/>
        <a:srcRect/>
        <a:stretch>
          <a:fillRect/>
        </a:stretch>
      </xdr:blipFill>
      <xdr:spPr>
        <a:xfrm>
          <a:off x="1753870" y="246507000"/>
          <a:ext cx="401320" cy="360045"/>
        </a:xfrm>
        <a:prstGeom prst="rect">
          <a:avLst/>
        </a:prstGeom>
        <a:noFill/>
      </xdr:spPr>
    </xdr:pic>
  </etc:cellImage>
  <etc:cellImage>
    <xdr:pic>
      <xdr:nvPicPr>
        <xdr:cNvPr id="143" name="ID_9A5AE4C277314ABA832D29128F642DC3" descr="core_image_url__exec_download_1418173393"/>
        <xdr:cNvPicPr/>
      </xdr:nvPicPr>
      <xdr:blipFill>
        <a:blip r:embed="rId41"/>
        <a:stretch>
          <a:fillRect/>
        </a:stretch>
      </xdr:blipFill>
      <xdr:spPr>
        <a:xfrm>
          <a:off x="0" y="0"/>
          <a:ext cx="1493520" cy="792480"/>
        </a:xfrm>
        <a:prstGeom prst="rect">
          <a:avLst/>
        </a:prstGeom>
      </xdr:spPr>
    </xdr:pic>
  </etc:cellImage>
  <etc:cellImage>
    <xdr:pic>
      <xdr:nvPicPr>
        <xdr:cNvPr id="207" name="ID_CD6A6D3DB31945B881E8C95E89ED1B6A" descr="520"/>
        <xdr:cNvPicPr/>
      </xdr:nvPicPr>
      <xdr:blipFill>
        <a:blip r:embed="rId42"/>
        <a:srcRect/>
        <a:stretch>
          <a:fillRect/>
        </a:stretch>
      </xdr:blipFill>
      <xdr:spPr>
        <a:xfrm>
          <a:off x="1820545" y="46483270"/>
          <a:ext cx="352425" cy="389255"/>
        </a:xfrm>
        <a:prstGeom prst="rect">
          <a:avLst/>
        </a:prstGeom>
        <a:noFill/>
      </xdr:spPr>
    </xdr:pic>
  </etc:cellImage>
  <etc:cellImage>
    <xdr:pic>
      <xdr:nvPicPr>
        <xdr:cNvPr id="167" name="ID_86C0DBDFD0B548ABABC284CA14F8A1A5" descr="538"/>
        <xdr:cNvPicPr/>
      </xdr:nvPicPr>
      <xdr:blipFill>
        <a:blip r:embed="rId43"/>
        <a:srcRect/>
        <a:stretch>
          <a:fillRect/>
        </a:stretch>
      </xdr:blipFill>
      <xdr:spPr>
        <a:xfrm>
          <a:off x="1746250" y="45720000"/>
          <a:ext cx="709930" cy="349885"/>
        </a:xfrm>
        <a:prstGeom prst="rect">
          <a:avLst/>
        </a:prstGeom>
        <a:noFill/>
      </xdr:spPr>
    </xdr:pic>
  </etc:cellImage>
  <etc:cellImage>
    <xdr:pic>
      <xdr:nvPicPr>
        <xdr:cNvPr id="174" name="ID_922C562AF0F54A97A4B4016C507785E0" descr="521"/>
        <xdr:cNvPicPr/>
      </xdr:nvPicPr>
      <xdr:blipFill>
        <a:blip r:embed="rId44"/>
        <a:srcRect/>
        <a:stretch>
          <a:fillRect/>
        </a:stretch>
      </xdr:blipFill>
      <xdr:spPr>
        <a:xfrm>
          <a:off x="1802765" y="44651295"/>
          <a:ext cx="555625" cy="229870"/>
        </a:xfrm>
        <a:prstGeom prst="rect">
          <a:avLst/>
        </a:prstGeom>
        <a:noFill/>
      </xdr:spPr>
    </xdr:pic>
  </etc:cellImage>
  <etc:cellImage>
    <xdr:pic>
      <xdr:nvPicPr>
        <xdr:cNvPr id="368" name="ID_0328A9E0FA7A4A478C0FDCDAB7B3FDAB" descr="537"/>
        <xdr:cNvPicPr/>
      </xdr:nvPicPr>
      <xdr:blipFill>
        <a:blip r:embed="rId45"/>
        <a:srcRect/>
        <a:stretch>
          <a:fillRect/>
        </a:stretch>
      </xdr:blipFill>
      <xdr:spPr>
        <a:xfrm>
          <a:off x="1990725" y="44278550"/>
          <a:ext cx="349250" cy="328930"/>
        </a:xfrm>
        <a:prstGeom prst="rect">
          <a:avLst/>
        </a:prstGeom>
        <a:noFill/>
      </xdr:spPr>
    </xdr:pic>
  </etc:cellImage>
  <etc:cellImage>
    <xdr:pic>
      <xdr:nvPicPr>
        <xdr:cNvPr id="131" name="ID_29C8463BD3AB4563B4F0FFCD30957291" descr="core_image_url__exec_download_3716863771"/>
        <xdr:cNvPicPr/>
      </xdr:nvPicPr>
      <xdr:blipFill>
        <a:blip r:embed="rId46"/>
        <a:stretch>
          <a:fillRect/>
        </a:stretch>
      </xdr:blipFill>
      <xdr:spPr>
        <a:xfrm>
          <a:off x="0" y="0"/>
          <a:ext cx="1019175" cy="1009650"/>
        </a:xfrm>
        <a:prstGeom prst="rect">
          <a:avLst/>
        </a:prstGeom>
      </xdr:spPr>
    </xdr:pic>
  </etc:cellImage>
  <etc:cellImage>
    <xdr:pic>
      <xdr:nvPicPr>
        <xdr:cNvPr id="130" name="ID_FC65332BA5174791902A7D7D339DBB6E" descr="core_image_url__exec_download_376730203"/>
        <xdr:cNvPicPr/>
      </xdr:nvPicPr>
      <xdr:blipFill>
        <a:blip r:embed="rId46"/>
        <a:stretch>
          <a:fillRect/>
        </a:stretch>
      </xdr:blipFill>
      <xdr:spPr>
        <a:xfrm>
          <a:off x="0" y="0"/>
          <a:ext cx="1019175" cy="1009650"/>
        </a:xfrm>
        <a:prstGeom prst="rect">
          <a:avLst/>
        </a:prstGeom>
      </xdr:spPr>
    </xdr:pic>
  </etc:cellImage>
  <etc:cellImage>
    <xdr:pic>
      <xdr:nvPicPr>
        <xdr:cNvPr id="469" name="ID_A01175E2F0BE47CDB48837D6039728A4" descr="74"/>
        <xdr:cNvPicPr/>
      </xdr:nvPicPr>
      <xdr:blipFill>
        <a:blip r:embed="rId47"/>
        <a:srcRect/>
        <a:stretch>
          <a:fillRect/>
        </a:stretch>
      </xdr:blipFill>
      <xdr:spPr>
        <a:xfrm>
          <a:off x="1979295" y="42739310"/>
          <a:ext cx="468630" cy="398780"/>
        </a:xfrm>
        <a:prstGeom prst="rect">
          <a:avLst/>
        </a:prstGeom>
        <a:noFill/>
      </xdr:spPr>
    </xdr:pic>
  </etc:cellImage>
  <etc:cellImage>
    <xdr:pic>
      <xdr:nvPicPr>
        <xdr:cNvPr id="447" name="ID_A111E247AC614A738CF23A5E96AB7130" descr="534"/>
        <xdr:cNvPicPr/>
      </xdr:nvPicPr>
      <xdr:blipFill>
        <a:blip r:embed="rId48"/>
        <a:srcRect/>
        <a:stretch>
          <a:fillRect/>
        </a:stretch>
      </xdr:blipFill>
      <xdr:spPr>
        <a:xfrm>
          <a:off x="2082165" y="41971595"/>
          <a:ext cx="523875" cy="357505"/>
        </a:xfrm>
        <a:prstGeom prst="rect">
          <a:avLst/>
        </a:prstGeom>
        <a:noFill/>
      </xdr:spPr>
    </xdr:pic>
  </etc:cellImage>
  <etc:cellImage>
    <xdr:pic>
      <xdr:nvPicPr>
        <xdr:cNvPr id="172" name="ID_8A1422B9E752499DA4B36A15544C43A7" descr="518"/>
        <xdr:cNvPicPr/>
      </xdr:nvPicPr>
      <xdr:blipFill>
        <a:blip r:embed="rId42"/>
        <a:srcRect/>
        <a:stretch>
          <a:fillRect/>
        </a:stretch>
      </xdr:blipFill>
      <xdr:spPr>
        <a:xfrm>
          <a:off x="2067560" y="55334535"/>
          <a:ext cx="318135" cy="355600"/>
        </a:xfrm>
        <a:prstGeom prst="rect">
          <a:avLst/>
        </a:prstGeom>
        <a:noFill/>
      </xdr:spPr>
    </xdr:pic>
  </etc:cellImage>
  <etc:cellImage>
    <xdr:pic>
      <xdr:nvPicPr>
        <xdr:cNvPr id="212" name="ID_870D785126C740D49DC7CCF149D61474" descr="517"/>
        <xdr:cNvPicPr/>
      </xdr:nvPicPr>
      <xdr:blipFill>
        <a:blip r:embed="rId49"/>
        <a:srcRect/>
        <a:stretch>
          <a:fillRect/>
        </a:stretch>
      </xdr:blipFill>
      <xdr:spPr>
        <a:xfrm>
          <a:off x="2083435" y="54981475"/>
          <a:ext cx="440055" cy="291465"/>
        </a:xfrm>
        <a:prstGeom prst="rect">
          <a:avLst/>
        </a:prstGeom>
        <a:noFill/>
      </xdr:spPr>
    </xdr:pic>
  </etc:cellImage>
  <etc:cellImage>
    <xdr:pic>
      <xdr:nvPicPr>
        <xdr:cNvPr id="7" name="ID_BE1C90CBCBC54578A7C8AF28AB365D54" descr="core_image_url__exec_download_2794195357"/>
        <xdr:cNvPicPr/>
      </xdr:nvPicPr>
      <xdr:blipFill>
        <a:blip r:embed="rId50"/>
        <a:stretch>
          <a:fillRect/>
        </a:stretch>
      </xdr:blipFill>
      <xdr:spPr>
        <a:xfrm>
          <a:off x="0" y="0"/>
          <a:ext cx="2667000" cy="1647825"/>
        </a:xfrm>
        <a:prstGeom prst="rect">
          <a:avLst/>
        </a:prstGeom>
      </xdr:spPr>
    </xdr:pic>
  </etc:cellImage>
  <etc:cellImage>
    <xdr:pic>
      <xdr:nvPicPr>
        <xdr:cNvPr id="196" name="ID_082B8B37813046369222B0C571713EEE" descr="core_image_url__exec_download_551987901"/>
        <xdr:cNvPicPr/>
      </xdr:nvPicPr>
      <xdr:blipFill>
        <a:blip r:embed="rId51"/>
        <a:stretch>
          <a:fillRect/>
        </a:stretch>
      </xdr:blipFill>
      <xdr:spPr>
        <a:xfrm>
          <a:off x="0" y="0"/>
          <a:ext cx="771525" cy="333375"/>
        </a:xfrm>
        <a:prstGeom prst="rect">
          <a:avLst/>
        </a:prstGeom>
      </xdr:spPr>
    </xdr:pic>
  </etc:cellImage>
  <etc:cellImage>
    <xdr:pic>
      <xdr:nvPicPr>
        <xdr:cNvPr id="8" name="ID_6DD3C4A2F03B428A9B8519C9A3BD34F9" descr="core_image_url__exec_download_926084446"/>
        <xdr:cNvPicPr/>
      </xdr:nvPicPr>
      <xdr:blipFill>
        <a:blip r:embed="rId52"/>
        <a:stretch>
          <a:fillRect/>
        </a:stretch>
      </xdr:blipFill>
      <xdr:spPr>
        <a:xfrm>
          <a:off x="0" y="0"/>
          <a:ext cx="3562350" cy="933450"/>
        </a:xfrm>
        <a:prstGeom prst="rect">
          <a:avLst/>
        </a:prstGeom>
      </xdr:spPr>
    </xdr:pic>
  </etc:cellImage>
  <etc:cellImage>
    <xdr:pic>
      <xdr:nvPicPr>
        <xdr:cNvPr id="569" name="ID_D7829C8D6EB04D6BB648C33739EE5F72" descr="core_image_url__exec_download_1971909447"/>
        <xdr:cNvPicPr/>
      </xdr:nvPicPr>
      <xdr:blipFill>
        <a:blip r:embed="rId53"/>
        <a:stretch>
          <a:fillRect/>
        </a:stretch>
      </xdr:blipFill>
      <xdr:spPr>
        <a:xfrm>
          <a:off x="0" y="0"/>
          <a:ext cx="2857500" cy="723900"/>
        </a:xfrm>
        <a:prstGeom prst="rect">
          <a:avLst/>
        </a:prstGeom>
      </xdr:spPr>
    </xdr:pic>
  </etc:cellImage>
  <etc:cellImage>
    <xdr:pic>
      <xdr:nvPicPr>
        <xdr:cNvPr id="317" name="ID_528DFC40C3844DDF87AF7E0C64795596" descr="core_image_url__exec_download_1704550689"/>
        <xdr:cNvPicPr/>
      </xdr:nvPicPr>
      <xdr:blipFill>
        <a:blip r:embed="rId54"/>
        <a:stretch>
          <a:fillRect/>
        </a:stretch>
      </xdr:blipFill>
      <xdr:spPr>
        <a:xfrm>
          <a:off x="0" y="0"/>
          <a:ext cx="769620" cy="236220"/>
        </a:xfrm>
        <a:prstGeom prst="rect">
          <a:avLst/>
        </a:prstGeom>
      </xdr:spPr>
    </xdr:pic>
  </etc:cellImage>
  <etc:cellImage>
    <xdr:pic>
      <xdr:nvPicPr>
        <xdr:cNvPr id="383" name="ID_8D72BD435F95452A9D2B7BA7E2FB33C5" descr="523"/>
        <xdr:cNvPicPr/>
      </xdr:nvPicPr>
      <xdr:blipFill>
        <a:blip r:embed="rId55"/>
        <a:srcRect/>
        <a:stretch>
          <a:fillRect/>
        </a:stretch>
      </xdr:blipFill>
      <xdr:spPr>
        <a:xfrm>
          <a:off x="2144395" y="50461545"/>
          <a:ext cx="542290" cy="349250"/>
        </a:xfrm>
        <a:prstGeom prst="rect">
          <a:avLst/>
        </a:prstGeom>
        <a:noFill/>
      </xdr:spPr>
    </xdr:pic>
  </etc:cellImage>
  <etc:cellImage>
    <xdr:pic>
      <xdr:nvPicPr>
        <xdr:cNvPr id="168" name="ID_98823A56D70B4A528FEB2947CB0ACF00" descr="540"/>
        <xdr:cNvPicPr/>
      </xdr:nvPicPr>
      <xdr:blipFill>
        <a:blip r:embed="rId56"/>
        <a:srcRect/>
        <a:stretch>
          <a:fillRect/>
        </a:stretch>
      </xdr:blipFill>
      <xdr:spPr>
        <a:xfrm>
          <a:off x="1746250" y="47625000"/>
          <a:ext cx="392430" cy="377190"/>
        </a:xfrm>
        <a:prstGeom prst="rect">
          <a:avLst/>
        </a:prstGeom>
        <a:noFill/>
      </xdr:spPr>
    </xdr:pic>
  </etc:cellImage>
  <etc:cellImage>
    <xdr:pic>
      <xdr:nvPicPr>
        <xdr:cNvPr id="140" name="ID_EDD2A84FB29943F79C4DCA4DCBFA26F8" descr="core_image_url__exec_download_2515155868"/>
        <xdr:cNvPicPr/>
      </xdr:nvPicPr>
      <xdr:blipFill>
        <a:blip r:embed="rId57"/>
        <a:stretch>
          <a:fillRect/>
        </a:stretch>
      </xdr:blipFill>
      <xdr:spPr>
        <a:xfrm>
          <a:off x="0" y="0"/>
          <a:ext cx="4991100" cy="2349500"/>
        </a:xfrm>
        <a:prstGeom prst="rect">
          <a:avLst/>
        </a:prstGeom>
      </xdr:spPr>
    </xdr:pic>
  </etc:cellImage>
  <etc:cellImage>
    <xdr:pic>
      <xdr:nvPicPr>
        <xdr:cNvPr id="680" name="ID_A8F471125E4440F09543B01FB4A8FE71" descr="core_image_url__exec_download_1922660423"/>
        <xdr:cNvPicPr/>
      </xdr:nvPicPr>
      <xdr:blipFill>
        <a:blip r:embed="rId19"/>
        <a:stretch>
          <a:fillRect/>
        </a:stretch>
      </xdr:blipFill>
      <xdr:spPr>
        <a:xfrm>
          <a:off x="0" y="0"/>
          <a:ext cx="5105400" cy="3400425"/>
        </a:xfrm>
        <a:prstGeom prst="rect">
          <a:avLst/>
        </a:prstGeom>
      </xdr:spPr>
    </xdr:pic>
  </etc:cellImage>
  <etc:cellImage>
    <xdr:pic>
      <xdr:nvPicPr>
        <xdr:cNvPr id="675" name="ID_FF4EF763E642417DBB0BC150765C99D1" descr="core_image_url__exec_download_1281066835"/>
        <xdr:cNvPicPr/>
      </xdr:nvPicPr>
      <xdr:blipFill>
        <a:blip r:embed="rId58"/>
        <a:stretch>
          <a:fillRect/>
        </a:stretch>
      </xdr:blipFill>
      <xdr:spPr>
        <a:xfrm>
          <a:off x="0" y="0"/>
          <a:ext cx="5105400" cy="3257550"/>
        </a:xfrm>
        <a:prstGeom prst="rect">
          <a:avLst/>
        </a:prstGeom>
      </xdr:spPr>
    </xdr:pic>
  </etc:cellImage>
  <etc:cellImage>
    <xdr:pic>
      <xdr:nvPicPr>
        <xdr:cNvPr id="171" name="ID_EDC98AE6F9DD4BCAA5AF4746192E9733" descr="527"/>
        <xdr:cNvPicPr/>
      </xdr:nvPicPr>
      <xdr:blipFill>
        <a:blip r:embed="rId59"/>
        <a:srcRect/>
        <a:stretch>
          <a:fillRect/>
        </a:stretch>
      </xdr:blipFill>
      <xdr:spPr>
        <a:xfrm>
          <a:off x="2029460" y="52314475"/>
          <a:ext cx="840740" cy="267970"/>
        </a:xfrm>
        <a:prstGeom prst="rect">
          <a:avLst/>
        </a:prstGeom>
        <a:noFill/>
      </xdr:spPr>
    </xdr:pic>
  </etc:cellImage>
  <etc:cellImage>
    <xdr:pic>
      <xdr:nvPicPr>
        <xdr:cNvPr id="589" name="ID_69151571D7DA48A0AC681150786E306F" descr="core_image_url__exec_download_3414590388"/>
        <xdr:cNvPicPr/>
      </xdr:nvPicPr>
      <xdr:blipFill>
        <a:blip r:embed="rId60"/>
        <a:stretch>
          <a:fillRect/>
        </a:stretch>
      </xdr:blipFill>
      <xdr:spPr>
        <a:xfrm>
          <a:off x="0" y="0"/>
          <a:ext cx="4960620" cy="3627120"/>
        </a:xfrm>
        <a:prstGeom prst="rect">
          <a:avLst/>
        </a:prstGeom>
      </xdr:spPr>
    </xdr:pic>
  </etc:cellImage>
  <etc:cellImage>
    <xdr:pic>
      <xdr:nvPicPr>
        <xdr:cNvPr id="661" name="ID_0B56396D53574FD19541831066FC6CCC" descr="core_image_url__exec_download_4194738163"/>
        <xdr:cNvPicPr/>
      </xdr:nvPicPr>
      <xdr:blipFill>
        <a:blip r:embed="rId61"/>
        <a:stretch>
          <a:fillRect/>
        </a:stretch>
      </xdr:blipFill>
      <xdr:spPr>
        <a:xfrm>
          <a:off x="0" y="0"/>
          <a:ext cx="3609975" cy="485775"/>
        </a:xfrm>
        <a:prstGeom prst="rect">
          <a:avLst/>
        </a:prstGeom>
      </xdr:spPr>
    </xdr:pic>
  </etc:cellImage>
  <etc:cellImage>
    <xdr:pic>
      <xdr:nvPicPr>
        <xdr:cNvPr id="340" name="ID_006A5009EE984BBB9C24BE1428B07C8A" descr="524"/>
        <xdr:cNvPicPr/>
      </xdr:nvPicPr>
      <xdr:blipFill>
        <a:blip r:embed="rId62"/>
        <a:srcRect/>
        <a:stretch>
          <a:fillRect/>
        </a:stretch>
      </xdr:blipFill>
      <xdr:spPr>
        <a:xfrm>
          <a:off x="1931035" y="50744120"/>
          <a:ext cx="648970" cy="400050"/>
        </a:xfrm>
        <a:prstGeom prst="rect">
          <a:avLst/>
        </a:prstGeom>
        <a:noFill/>
      </xdr:spPr>
    </xdr:pic>
  </etc:cellImage>
  <etc:cellImage>
    <xdr:pic>
      <xdr:nvPicPr>
        <xdr:cNvPr id="70" name="ID_CE3EB96083FE41178A094CC7714699D9" descr="core_image_url__exec_download_3190467071"/>
        <xdr:cNvPicPr/>
      </xdr:nvPicPr>
      <xdr:blipFill>
        <a:blip r:embed="rId63"/>
        <a:stretch>
          <a:fillRect/>
        </a:stretch>
      </xdr:blipFill>
      <xdr:spPr>
        <a:xfrm>
          <a:off x="0" y="0"/>
          <a:ext cx="1304925" cy="419100"/>
        </a:xfrm>
        <a:prstGeom prst="rect">
          <a:avLst/>
        </a:prstGeom>
      </xdr:spPr>
    </xdr:pic>
  </etc:cellImage>
  <etc:cellImage>
    <xdr:pic>
      <xdr:nvPicPr>
        <xdr:cNvPr id="436" name="ID_2514FB428AC94EFC9BB2386BC19B9156" descr="core_image_url__exec_download_3544259935"/>
        <xdr:cNvPicPr/>
      </xdr:nvPicPr>
      <xdr:blipFill>
        <a:blip r:embed="rId64"/>
        <a:stretch>
          <a:fillRect/>
        </a:stretch>
      </xdr:blipFill>
      <xdr:spPr>
        <a:xfrm>
          <a:off x="0" y="0"/>
          <a:ext cx="2924175" cy="523875"/>
        </a:xfrm>
        <a:prstGeom prst="rect">
          <a:avLst/>
        </a:prstGeom>
      </xdr:spPr>
    </xdr:pic>
  </etc:cellImage>
  <etc:cellImage>
    <xdr:pic>
      <xdr:nvPicPr>
        <xdr:cNvPr id="427" name="ID_3B852B731E3B45A5A31CB9840BADDEA5" descr="400"/>
        <xdr:cNvPicPr/>
      </xdr:nvPicPr>
      <xdr:blipFill>
        <a:blip r:embed="rId65"/>
        <a:srcRect/>
        <a:stretch>
          <a:fillRect/>
        </a:stretch>
      </xdr:blipFill>
      <xdr:spPr>
        <a:xfrm>
          <a:off x="2181225" y="32111950"/>
          <a:ext cx="375920" cy="285115"/>
        </a:xfrm>
        <a:prstGeom prst="rect">
          <a:avLst/>
        </a:prstGeom>
        <a:noFill/>
      </xdr:spPr>
    </xdr:pic>
  </etc:cellImage>
  <etc:cellImage>
    <xdr:pic>
      <xdr:nvPicPr>
        <xdr:cNvPr id="82" name="ID_DFE6006AB6514DB1908176AA9B7FB9A8" descr="554"/>
        <xdr:cNvPicPr/>
      </xdr:nvPicPr>
      <xdr:blipFill>
        <a:blip r:embed="rId66"/>
        <a:srcRect/>
        <a:stretch>
          <a:fillRect/>
        </a:stretch>
      </xdr:blipFill>
      <xdr:spPr>
        <a:xfrm>
          <a:off x="1749425" y="14115415"/>
          <a:ext cx="836295" cy="375920"/>
        </a:xfrm>
        <a:prstGeom prst="rect">
          <a:avLst/>
        </a:prstGeom>
        <a:noFill/>
      </xdr:spPr>
    </xdr:pic>
  </etc:cellImage>
  <etc:cellImage>
    <xdr:pic>
      <xdr:nvPicPr>
        <xdr:cNvPr id="75" name="ID_398B48234CE64F83ADF6A7983146D355" descr="556"/>
        <xdr:cNvPicPr/>
      </xdr:nvPicPr>
      <xdr:blipFill>
        <a:blip r:embed="rId67"/>
        <a:srcRect/>
        <a:stretch>
          <a:fillRect/>
        </a:stretch>
      </xdr:blipFill>
      <xdr:spPr>
        <a:xfrm>
          <a:off x="2079625" y="13721715"/>
          <a:ext cx="441325" cy="389890"/>
        </a:xfrm>
        <a:prstGeom prst="rect">
          <a:avLst/>
        </a:prstGeom>
        <a:noFill/>
      </xdr:spPr>
    </xdr:pic>
  </etc:cellImage>
  <etc:cellImage>
    <xdr:pic>
      <xdr:nvPicPr>
        <xdr:cNvPr id="73" name="ID_0A9A260D257243FD8D7EA1B313BD8836" descr="555"/>
        <xdr:cNvPicPr/>
      </xdr:nvPicPr>
      <xdr:blipFill>
        <a:blip r:embed="rId68"/>
        <a:srcRect/>
        <a:stretch>
          <a:fillRect/>
        </a:stretch>
      </xdr:blipFill>
      <xdr:spPr>
        <a:xfrm>
          <a:off x="1931670" y="13060680"/>
          <a:ext cx="650240" cy="297815"/>
        </a:xfrm>
        <a:prstGeom prst="rect">
          <a:avLst/>
        </a:prstGeom>
        <a:noFill/>
      </xdr:spPr>
    </xdr:pic>
  </etc:cellImage>
  <etc:cellImage>
    <xdr:pic>
      <xdr:nvPicPr>
        <xdr:cNvPr id="370" name="ID_2961C7413625418AA5D97AA62CC8905A" descr="552"/>
        <xdr:cNvPicPr/>
      </xdr:nvPicPr>
      <xdr:blipFill>
        <a:blip r:embed="rId69"/>
        <a:srcRect/>
        <a:stretch>
          <a:fillRect/>
        </a:stretch>
      </xdr:blipFill>
      <xdr:spPr>
        <a:xfrm>
          <a:off x="1977390" y="12275820"/>
          <a:ext cx="523875" cy="400685"/>
        </a:xfrm>
        <a:prstGeom prst="rect">
          <a:avLst/>
        </a:prstGeom>
        <a:noFill/>
      </xdr:spPr>
    </xdr:pic>
  </etc:cellImage>
  <etc:cellImage>
    <xdr:pic>
      <xdr:nvPicPr>
        <xdr:cNvPr id="574" name="ID_514DC0862FCB4BCB899D3FD80DDA13DC" descr="core_image_url__exec_download_1139936427"/>
        <xdr:cNvPicPr/>
      </xdr:nvPicPr>
      <xdr:blipFill>
        <a:blip r:embed="rId70"/>
        <a:stretch>
          <a:fillRect/>
        </a:stretch>
      </xdr:blipFill>
      <xdr:spPr>
        <a:xfrm>
          <a:off x="0" y="0"/>
          <a:ext cx="2354580" cy="1562100"/>
        </a:xfrm>
        <a:prstGeom prst="rect">
          <a:avLst/>
        </a:prstGeom>
      </xdr:spPr>
    </xdr:pic>
  </etc:cellImage>
  <etc:cellImage>
    <xdr:pic>
      <xdr:nvPicPr>
        <xdr:cNvPr id="45" name="ID_7C9F43217EED42AE9CF244CF23AB8A6C" descr="core_image_url__exec_download_436104821"/>
        <xdr:cNvPicPr/>
      </xdr:nvPicPr>
      <xdr:blipFill>
        <a:blip r:embed="rId71"/>
        <a:stretch>
          <a:fillRect/>
        </a:stretch>
      </xdr:blipFill>
      <xdr:spPr>
        <a:xfrm>
          <a:off x="0" y="0"/>
          <a:ext cx="1676400" cy="1228725"/>
        </a:xfrm>
        <a:prstGeom prst="rect">
          <a:avLst/>
        </a:prstGeom>
      </xdr:spPr>
    </xdr:pic>
  </etc:cellImage>
  <etc:cellImage>
    <xdr:pic>
      <xdr:nvPicPr>
        <xdr:cNvPr id="24" name="ID_B07B510706554B4EBDE20522498FF08D" descr="core_image_url__exec_download_1097114891"/>
        <xdr:cNvPicPr/>
      </xdr:nvPicPr>
      <xdr:blipFill>
        <a:blip r:embed="rId72"/>
        <a:stretch>
          <a:fillRect/>
        </a:stretch>
      </xdr:blipFill>
      <xdr:spPr>
        <a:xfrm>
          <a:off x="0" y="0"/>
          <a:ext cx="1301750" cy="762000"/>
        </a:xfrm>
        <a:prstGeom prst="rect">
          <a:avLst/>
        </a:prstGeom>
      </xdr:spPr>
    </xdr:pic>
  </etc:cellImage>
  <etc:cellImage>
    <xdr:pic>
      <xdr:nvPicPr>
        <xdr:cNvPr id="14" name="ID_E36F8527103A4D30AC40977912080197" descr="core_image_url__exec_download_2202597540"/>
        <xdr:cNvPicPr/>
      </xdr:nvPicPr>
      <xdr:blipFill>
        <a:blip r:embed="rId73"/>
        <a:stretch>
          <a:fillRect/>
        </a:stretch>
      </xdr:blipFill>
      <xdr:spPr>
        <a:xfrm>
          <a:off x="0" y="0"/>
          <a:ext cx="1920240" cy="1402080"/>
        </a:xfrm>
        <a:prstGeom prst="rect">
          <a:avLst/>
        </a:prstGeom>
      </xdr:spPr>
    </xdr:pic>
  </etc:cellImage>
  <etc:cellImage>
    <xdr:pic>
      <xdr:nvPicPr>
        <xdr:cNvPr id="360" name="ID_7ABF5BD0E93248789CBFB55C1158DA88" descr="519"/>
        <xdr:cNvPicPr/>
      </xdr:nvPicPr>
      <xdr:blipFill>
        <a:blip r:embed="rId44"/>
        <a:srcRect/>
        <a:stretch>
          <a:fillRect/>
        </a:stretch>
      </xdr:blipFill>
      <xdr:spPr>
        <a:xfrm>
          <a:off x="1783715" y="53388260"/>
          <a:ext cx="661670" cy="267335"/>
        </a:xfrm>
        <a:prstGeom prst="rect">
          <a:avLst/>
        </a:prstGeom>
        <a:noFill/>
      </xdr:spPr>
    </xdr:pic>
  </etc:cellImage>
  <etc:cellImage>
    <xdr:pic>
      <xdr:nvPicPr>
        <xdr:cNvPr id="394" name="ID_FB5974AD758F49E68E949DA18E208B8D" descr="570"/>
        <xdr:cNvPicPr/>
      </xdr:nvPicPr>
      <xdr:blipFill>
        <a:blip r:embed="rId74"/>
        <a:srcRect/>
        <a:stretch>
          <a:fillRect/>
        </a:stretch>
      </xdr:blipFill>
      <xdr:spPr>
        <a:xfrm>
          <a:off x="1803400" y="10677525"/>
          <a:ext cx="909320" cy="373380"/>
        </a:xfrm>
        <a:prstGeom prst="rect">
          <a:avLst/>
        </a:prstGeom>
        <a:noFill/>
      </xdr:spPr>
    </xdr:pic>
  </etc:cellImage>
  <etc:cellImage>
    <xdr:pic>
      <xdr:nvPicPr>
        <xdr:cNvPr id="48" name="ID_BBBC8B4164864CC184E46BE95D2B61AD" descr="core_image_url__exec_download_2266162363"/>
        <xdr:cNvPicPr/>
      </xdr:nvPicPr>
      <xdr:blipFill>
        <a:blip r:embed="rId75"/>
        <a:stretch>
          <a:fillRect/>
        </a:stretch>
      </xdr:blipFill>
      <xdr:spPr>
        <a:xfrm>
          <a:off x="0" y="0"/>
          <a:ext cx="1828800" cy="1085850"/>
        </a:xfrm>
        <a:prstGeom prst="rect">
          <a:avLst/>
        </a:prstGeom>
      </xdr:spPr>
    </xdr:pic>
  </etc:cellImage>
  <etc:cellImage>
    <xdr:pic>
      <xdr:nvPicPr>
        <xdr:cNvPr id="32" name="ID_42D5DF370CCC42198A2141C645FD2CFF" descr="569"/>
        <xdr:cNvPicPr/>
      </xdr:nvPicPr>
      <xdr:blipFill>
        <a:blip r:embed="rId76"/>
        <a:srcRect/>
        <a:stretch>
          <a:fillRect/>
        </a:stretch>
      </xdr:blipFill>
      <xdr:spPr>
        <a:xfrm>
          <a:off x="2053590" y="9547860"/>
          <a:ext cx="868680" cy="386715"/>
        </a:xfrm>
        <a:prstGeom prst="rect">
          <a:avLst/>
        </a:prstGeom>
        <a:noFill/>
      </xdr:spPr>
    </xdr:pic>
  </etc:cellImage>
  <etc:cellImage>
    <xdr:pic>
      <xdr:nvPicPr>
        <xdr:cNvPr id="371" name="ID_84D07420AF0A40B895488A5492D70A87" descr="57"/>
        <xdr:cNvPicPr/>
      </xdr:nvPicPr>
      <xdr:blipFill>
        <a:blip r:embed="rId77"/>
        <a:srcRect/>
        <a:stretch>
          <a:fillRect/>
        </a:stretch>
      </xdr:blipFill>
      <xdr:spPr>
        <a:xfrm>
          <a:off x="1988185" y="113310035"/>
          <a:ext cx="673100" cy="374015"/>
        </a:xfrm>
        <a:prstGeom prst="rect">
          <a:avLst/>
        </a:prstGeom>
        <a:noFill/>
      </xdr:spPr>
    </xdr:pic>
  </etc:cellImage>
  <etc:cellImage>
    <xdr:pic>
      <xdr:nvPicPr>
        <xdr:cNvPr id="23" name="ID_C0DB966C52D14D35AB421E1B9730BA8B" descr="568"/>
        <xdr:cNvPicPr/>
      </xdr:nvPicPr>
      <xdr:blipFill>
        <a:blip r:embed="rId78"/>
        <a:srcRect/>
        <a:stretch>
          <a:fillRect/>
        </a:stretch>
      </xdr:blipFill>
      <xdr:spPr>
        <a:xfrm>
          <a:off x="1910080" y="8808720"/>
          <a:ext cx="887730" cy="389255"/>
        </a:xfrm>
        <a:prstGeom prst="rect">
          <a:avLst/>
        </a:prstGeom>
        <a:noFill/>
      </xdr:spPr>
    </xdr:pic>
  </etc:cellImage>
  <etc:cellImage>
    <xdr:pic>
      <xdr:nvPicPr>
        <xdr:cNvPr id="296" name="ID_FCAC800B20CD421A93879EAD6F7C0A9E" descr="56"/>
        <xdr:cNvPicPr/>
      </xdr:nvPicPr>
      <xdr:blipFill>
        <a:blip r:embed="rId77"/>
        <a:srcRect/>
        <a:stretch>
          <a:fillRect/>
        </a:stretch>
      </xdr:blipFill>
      <xdr:spPr>
        <a:xfrm>
          <a:off x="2068830" y="112874425"/>
          <a:ext cx="715645" cy="397510"/>
        </a:xfrm>
        <a:prstGeom prst="rect">
          <a:avLst/>
        </a:prstGeom>
        <a:noFill/>
      </xdr:spPr>
    </xdr:pic>
  </etc:cellImage>
  <etc:cellImage>
    <xdr:pic>
      <xdr:nvPicPr>
        <xdr:cNvPr id="645" name="ID_F60DF37D92B34D3699642DC9E7C766FE" descr="101"/>
        <xdr:cNvPicPr/>
      </xdr:nvPicPr>
      <xdr:blipFill>
        <a:blip r:embed="rId79"/>
        <a:srcRect/>
        <a:stretch>
          <a:fillRect/>
        </a:stretch>
      </xdr:blipFill>
      <xdr:spPr>
        <a:xfrm>
          <a:off x="1750695" y="244612795"/>
          <a:ext cx="901700" cy="353060"/>
        </a:xfrm>
        <a:prstGeom prst="rect">
          <a:avLst/>
        </a:prstGeom>
        <a:noFill/>
      </xdr:spPr>
    </xdr:pic>
  </etc:cellImage>
  <etc:cellImage>
    <xdr:pic>
      <xdr:nvPicPr>
        <xdr:cNvPr id="322" name="ID_4050F3DC4A39481FA2AE323DC85E931E" descr="150"/>
        <xdr:cNvPicPr/>
      </xdr:nvPicPr>
      <xdr:blipFill>
        <a:blip r:embed="rId80"/>
        <a:srcRect/>
        <a:stretch>
          <a:fillRect/>
        </a:stretch>
      </xdr:blipFill>
      <xdr:spPr>
        <a:xfrm>
          <a:off x="1765935" y="132212715"/>
          <a:ext cx="648970" cy="412750"/>
        </a:xfrm>
        <a:prstGeom prst="rect">
          <a:avLst/>
        </a:prstGeom>
        <a:noFill/>
      </xdr:spPr>
    </xdr:pic>
  </etc:cellImage>
  <etc:cellImage>
    <xdr:pic>
      <xdr:nvPicPr>
        <xdr:cNvPr id="643" name="ID_887B7DB677E04A8CA4BE63DF78BB380D" descr="469"/>
        <xdr:cNvPicPr/>
      </xdr:nvPicPr>
      <xdr:blipFill>
        <a:blip r:embed="rId81"/>
        <a:srcRect/>
        <a:stretch>
          <a:fillRect/>
        </a:stretch>
      </xdr:blipFill>
      <xdr:spPr>
        <a:xfrm>
          <a:off x="1746250" y="243840000"/>
          <a:ext cx="703580" cy="367030"/>
        </a:xfrm>
        <a:prstGeom prst="rect">
          <a:avLst/>
        </a:prstGeom>
        <a:noFill/>
      </xdr:spPr>
    </xdr:pic>
  </etc:cellImage>
  <etc:cellImage>
    <xdr:pic>
      <xdr:nvPicPr>
        <xdr:cNvPr id="641" name="ID_870B10E1C2E44BC49D51DB1CF0D5DEEA" descr="74"/>
        <xdr:cNvPicPr/>
      </xdr:nvPicPr>
      <xdr:blipFill>
        <a:blip r:embed="rId47"/>
        <a:srcRect/>
        <a:stretch>
          <a:fillRect/>
        </a:stretch>
      </xdr:blipFill>
      <xdr:spPr>
        <a:xfrm>
          <a:off x="1746250" y="242697000"/>
          <a:ext cx="434340" cy="370205"/>
        </a:xfrm>
        <a:prstGeom prst="rect">
          <a:avLst/>
        </a:prstGeom>
        <a:noFill/>
      </xdr:spPr>
    </xdr:pic>
  </etc:cellImage>
  <etc:cellImage>
    <xdr:pic>
      <xdr:nvPicPr>
        <xdr:cNvPr id="640" name="ID_E1204B6F4E854735ACC0757082A2B36C" descr="74"/>
        <xdr:cNvPicPr/>
      </xdr:nvPicPr>
      <xdr:blipFill>
        <a:blip r:embed="rId47"/>
        <a:srcRect/>
        <a:stretch>
          <a:fillRect/>
        </a:stretch>
      </xdr:blipFill>
      <xdr:spPr>
        <a:xfrm>
          <a:off x="1761490" y="242322350"/>
          <a:ext cx="434340" cy="370205"/>
        </a:xfrm>
        <a:prstGeom prst="rect">
          <a:avLst/>
        </a:prstGeom>
        <a:noFill/>
      </xdr:spPr>
    </xdr:pic>
  </etc:cellImage>
  <etc:cellImage>
    <xdr:pic>
      <xdr:nvPicPr>
        <xdr:cNvPr id="564" name="ID_FA745464C37C446A9D32D9D89D9E953F" descr="158"/>
        <xdr:cNvPicPr/>
      </xdr:nvPicPr>
      <xdr:blipFill>
        <a:blip r:embed="rId82"/>
        <a:srcRect/>
        <a:stretch>
          <a:fillRect/>
        </a:stretch>
      </xdr:blipFill>
      <xdr:spPr>
        <a:xfrm>
          <a:off x="1796415" y="204240130"/>
          <a:ext cx="497840" cy="342265"/>
        </a:xfrm>
        <a:prstGeom prst="rect">
          <a:avLst/>
        </a:prstGeom>
        <a:noFill/>
      </xdr:spPr>
    </xdr:pic>
  </etc:cellImage>
  <etc:cellImage>
    <xdr:pic>
      <xdr:nvPicPr>
        <xdr:cNvPr id="609" name="ID_41D8E197D70A4F929FBED9AD5EFE7FC6" descr="core_image_url__exec_download_1972121862"/>
        <xdr:cNvPicPr/>
      </xdr:nvPicPr>
      <xdr:blipFill>
        <a:blip r:embed="rId83"/>
        <a:stretch>
          <a:fillRect/>
        </a:stretch>
      </xdr:blipFill>
      <xdr:spPr>
        <a:xfrm>
          <a:off x="0" y="0"/>
          <a:ext cx="1206500" cy="958850"/>
        </a:xfrm>
        <a:prstGeom prst="rect">
          <a:avLst/>
        </a:prstGeom>
      </xdr:spPr>
    </xdr:pic>
  </etc:cellImage>
  <etc:cellImage>
    <xdr:pic>
      <xdr:nvPicPr>
        <xdr:cNvPr id="248" name="ID_2F64F7943D6B4A65A225530714A5E275" descr="core_image_url__exec_download_2261174884"/>
        <xdr:cNvPicPr/>
      </xdr:nvPicPr>
      <xdr:blipFill>
        <a:blip r:embed="rId84"/>
        <a:stretch>
          <a:fillRect/>
        </a:stretch>
      </xdr:blipFill>
      <xdr:spPr>
        <a:xfrm>
          <a:off x="0" y="0"/>
          <a:ext cx="885825" cy="600075"/>
        </a:xfrm>
        <a:prstGeom prst="rect">
          <a:avLst/>
        </a:prstGeom>
      </xdr:spPr>
    </xdr:pic>
  </etc:cellImage>
  <etc:cellImage>
    <xdr:pic>
      <xdr:nvPicPr>
        <xdr:cNvPr id="470" name="ID_EF77C370BCB542E0B2041D8BE95ADCCB" descr="74"/>
        <xdr:cNvPicPr/>
      </xdr:nvPicPr>
      <xdr:blipFill>
        <a:blip r:embed="rId47"/>
        <a:srcRect/>
        <a:stretch>
          <a:fillRect/>
        </a:stretch>
      </xdr:blipFill>
      <xdr:spPr>
        <a:xfrm>
          <a:off x="1961515" y="43111420"/>
          <a:ext cx="434340" cy="370205"/>
        </a:xfrm>
        <a:prstGeom prst="rect">
          <a:avLst/>
        </a:prstGeom>
        <a:noFill/>
      </xdr:spPr>
    </xdr:pic>
  </etc:cellImage>
  <etc:cellImage>
    <xdr:pic>
      <xdr:nvPicPr>
        <xdr:cNvPr id="636" name="ID_A918CB83236B4970AF2C8D5C4BDF0E65" descr="98"/>
        <xdr:cNvPicPr/>
      </xdr:nvPicPr>
      <xdr:blipFill>
        <a:blip r:embed="rId85"/>
        <a:srcRect/>
        <a:stretch>
          <a:fillRect/>
        </a:stretch>
      </xdr:blipFill>
      <xdr:spPr>
        <a:xfrm>
          <a:off x="1762760" y="240420525"/>
          <a:ext cx="729615" cy="369570"/>
        </a:xfrm>
        <a:prstGeom prst="rect">
          <a:avLst/>
        </a:prstGeom>
        <a:noFill/>
      </xdr:spPr>
    </xdr:pic>
  </etc:cellImage>
  <etc:cellImage>
    <xdr:pic>
      <xdr:nvPicPr>
        <xdr:cNvPr id="198" name="ID_F6525035E44C4AD8AC39941FF1F18E48" descr="526"/>
        <xdr:cNvPicPr/>
      </xdr:nvPicPr>
      <xdr:blipFill>
        <a:blip r:embed="rId86"/>
        <a:srcRect/>
        <a:stretch>
          <a:fillRect/>
        </a:stretch>
      </xdr:blipFill>
      <xdr:spPr>
        <a:xfrm>
          <a:off x="1804670" y="45347255"/>
          <a:ext cx="353695" cy="340995"/>
        </a:xfrm>
        <a:prstGeom prst="rect">
          <a:avLst/>
        </a:prstGeom>
        <a:noFill/>
      </xdr:spPr>
    </xdr:pic>
  </etc:cellImage>
  <etc:cellImage>
    <xdr:pic>
      <xdr:nvPicPr>
        <xdr:cNvPr id="633" name="ID_3295D6C856AE4E4189F95834A49EFE1F" descr="96"/>
        <xdr:cNvPicPr/>
      </xdr:nvPicPr>
      <xdr:blipFill>
        <a:blip r:embed="rId87"/>
        <a:srcRect/>
        <a:stretch>
          <a:fillRect/>
        </a:stretch>
      </xdr:blipFill>
      <xdr:spPr>
        <a:xfrm>
          <a:off x="1753235" y="239658525"/>
          <a:ext cx="466725" cy="353060"/>
        </a:xfrm>
        <a:prstGeom prst="rect">
          <a:avLst/>
        </a:prstGeom>
        <a:noFill/>
      </xdr:spPr>
    </xdr:pic>
  </etc:cellImage>
  <etc:cellImage>
    <xdr:pic>
      <xdr:nvPicPr>
        <xdr:cNvPr id="111" name="ID_1C8EBEA7EAAF451895F95B1888834890" descr="core_image_url__exec_download_1392339292"/>
        <xdr:cNvPicPr/>
      </xdr:nvPicPr>
      <xdr:blipFill>
        <a:blip r:embed="rId88"/>
        <a:stretch>
          <a:fillRect/>
        </a:stretch>
      </xdr:blipFill>
      <xdr:spPr>
        <a:xfrm>
          <a:off x="0" y="0"/>
          <a:ext cx="289560" cy="289560"/>
        </a:xfrm>
        <a:prstGeom prst="rect">
          <a:avLst/>
        </a:prstGeom>
      </xdr:spPr>
    </xdr:pic>
  </etc:cellImage>
  <etc:cellImage>
    <xdr:pic>
      <xdr:nvPicPr>
        <xdr:cNvPr id="632" name="ID_3BB6865A153841C7A6CCDCD8E939E2E9" descr="94"/>
        <xdr:cNvPicPr/>
      </xdr:nvPicPr>
      <xdr:blipFill>
        <a:blip r:embed="rId89"/>
        <a:srcRect/>
        <a:stretch>
          <a:fillRect/>
        </a:stretch>
      </xdr:blipFill>
      <xdr:spPr>
        <a:xfrm>
          <a:off x="1751330" y="239272445"/>
          <a:ext cx="465455" cy="369570"/>
        </a:xfrm>
        <a:prstGeom prst="rect">
          <a:avLst/>
        </a:prstGeom>
        <a:noFill/>
      </xdr:spPr>
    </xdr:pic>
  </etc:cellImage>
  <etc:cellImage>
    <xdr:pic>
      <xdr:nvPicPr>
        <xdr:cNvPr id="78" name="ID_FDD88BA72A7D419791D861152DFC7EC9" descr="core_image_url__exec_download_2041451271"/>
        <xdr:cNvPicPr/>
      </xdr:nvPicPr>
      <xdr:blipFill>
        <a:blip r:embed="rId90"/>
        <a:stretch>
          <a:fillRect/>
        </a:stretch>
      </xdr:blipFill>
      <xdr:spPr>
        <a:xfrm>
          <a:off x="0" y="0"/>
          <a:ext cx="594360" cy="236220"/>
        </a:xfrm>
        <a:prstGeom prst="rect">
          <a:avLst/>
        </a:prstGeom>
      </xdr:spPr>
    </xdr:pic>
  </etc:cellImage>
  <etc:cellImage>
    <xdr:pic>
      <xdr:nvPicPr>
        <xdr:cNvPr id="605" name="ID_6F2A3B975E67434B85056C1278EBBD51" descr="222"/>
        <xdr:cNvPicPr/>
      </xdr:nvPicPr>
      <xdr:blipFill>
        <a:blip r:embed="rId91"/>
        <a:srcRect/>
        <a:stretch>
          <a:fillRect/>
        </a:stretch>
      </xdr:blipFill>
      <xdr:spPr>
        <a:xfrm>
          <a:off x="1946910" y="228706680"/>
          <a:ext cx="1320800" cy="219710"/>
        </a:xfrm>
        <a:prstGeom prst="rect">
          <a:avLst/>
        </a:prstGeom>
        <a:noFill/>
      </xdr:spPr>
    </xdr:pic>
  </etc:cellImage>
  <etc:cellImage>
    <xdr:pic>
      <xdr:nvPicPr>
        <xdr:cNvPr id="399" name="ID_C8B2DF8604A94419830F68833817C959" descr="342"/>
        <xdr:cNvPicPr/>
      </xdr:nvPicPr>
      <xdr:blipFill>
        <a:blip r:embed="rId92"/>
        <a:srcRect/>
        <a:stretch>
          <a:fillRect/>
        </a:stretch>
      </xdr:blipFill>
      <xdr:spPr>
        <a:xfrm>
          <a:off x="1746250" y="92583000"/>
          <a:ext cx="591185" cy="328930"/>
        </a:xfrm>
        <a:prstGeom prst="rect">
          <a:avLst/>
        </a:prstGeom>
        <a:noFill/>
      </xdr:spPr>
    </xdr:pic>
  </etc:cellImage>
  <etc:cellImage>
    <xdr:pic>
      <xdr:nvPicPr>
        <xdr:cNvPr id="318" name="ID_6DB9E2DAADA64D278A4132A441975891" descr="259"/>
        <xdr:cNvPicPr/>
      </xdr:nvPicPr>
      <xdr:blipFill>
        <a:blip r:embed="rId93"/>
        <a:srcRect/>
        <a:stretch>
          <a:fillRect/>
        </a:stretch>
      </xdr:blipFill>
      <xdr:spPr>
        <a:xfrm>
          <a:off x="1774190" y="128416685"/>
          <a:ext cx="540385" cy="318770"/>
        </a:xfrm>
        <a:prstGeom prst="rect">
          <a:avLst/>
        </a:prstGeom>
        <a:noFill/>
      </xdr:spPr>
    </xdr:pic>
  </etc:cellImage>
  <etc:cellImage>
    <xdr:pic>
      <xdr:nvPicPr>
        <xdr:cNvPr id="583" name="ID_66515160D9D44E85B321CCC3E60F2A27" descr="4"/>
        <xdr:cNvPicPr/>
      </xdr:nvPicPr>
      <xdr:blipFill>
        <a:blip r:embed="rId94"/>
        <a:srcRect/>
        <a:stretch>
          <a:fillRect/>
        </a:stretch>
      </xdr:blipFill>
      <xdr:spPr>
        <a:xfrm>
          <a:off x="1875155" y="214639525"/>
          <a:ext cx="979805" cy="241300"/>
        </a:xfrm>
        <a:prstGeom prst="rect">
          <a:avLst/>
        </a:prstGeom>
        <a:noFill/>
      </xdr:spPr>
    </xdr:pic>
  </etc:cellImage>
  <etc:cellImage>
    <xdr:pic>
      <xdr:nvPicPr>
        <xdr:cNvPr id="581" name="ID_DB7C2F700CF1408FB3815AB37E022DBD" descr="0"/>
        <xdr:cNvPicPr/>
      </xdr:nvPicPr>
      <xdr:blipFill>
        <a:blip r:embed="rId95"/>
        <a:srcRect/>
        <a:stretch>
          <a:fillRect/>
        </a:stretch>
      </xdr:blipFill>
      <xdr:spPr>
        <a:xfrm>
          <a:off x="2006600" y="213874985"/>
          <a:ext cx="955040" cy="373380"/>
        </a:xfrm>
        <a:prstGeom prst="rect">
          <a:avLst/>
        </a:prstGeom>
        <a:noFill/>
      </xdr:spPr>
    </xdr:pic>
  </etc:cellImage>
  <etc:cellImage>
    <xdr:pic>
      <xdr:nvPicPr>
        <xdr:cNvPr id="20" name="ID_53E462E1A6234D0F98AD82576FF99D68" descr="core_image_url__exec_download_1504005084"/>
        <xdr:cNvPicPr/>
      </xdr:nvPicPr>
      <xdr:blipFill>
        <a:blip r:embed="rId96"/>
        <a:stretch>
          <a:fillRect/>
        </a:stretch>
      </xdr:blipFill>
      <xdr:spPr>
        <a:xfrm>
          <a:off x="0" y="0"/>
          <a:ext cx="1438275" cy="981075"/>
        </a:xfrm>
        <a:prstGeom prst="rect">
          <a:avLst/>
        </a:prstGeom>
      </xdr:spPr>
    </xdr:pic>
  </etc:cellImage>
  <etc:cellImage>
    <xdr:pic>
      <xdr:nvPicPr>
        <xdr:cNvPr id="496" name="ID_F666DAFF506440FFA6EEA0F3D59ADF02" descr="103"/>
        <xdr:cNvPicPr/>
      </xdr:nvPicPr>
      <xdr:blipFill>
        <a:blip r:embed="rId97"/>
        <a:srcRect/>
        <a:stretch>
          <a:fillRect/>
        </a:stretch>
      </xdr:blipFill>
      <xdr:spPr>
        <a:xfrm>
          <a:off x="1889760" y="172331380"/>
          <a:ext cx="498475" cy="363855"/>
        </a:xfrm>
        <a:prstGeom prst="rect">
          <a:avLst/>
        </a:prstGeom>
        <a:noFill/>
      </xdr:spPr>
    </xdr:pic>
  </etc:cellImage>
  <etc:cellImage>
    <xdr:pic>
      <xdr:nvPicPr>
        <xdr:cNvPr id="249" name="ID_E33A656B406B404C8861075F837EFE5F" descr="269"/>
        <xdr:cNvPicPr/>
      </xdr:nvPicPr>
      <xdr:blipFill>
        <a:blip r:embed="rId98"/>
        <a:srcRect/>
        <a:stretch>
          <a:fillRect/>
        </a:stretch>
      </xdr:blipFill>
      <xdr:spPr>
        <a:xfrm>
          <a:off x="1793875" y="86502875"/>
          <a:ext cx="389890" cy="368935"/>
        </a:xfrm>
        <a:prstGeom prst="rect">
          <a:avLst/>
        </a:prstGeom>
        <a:noFill/>
      </xdr:spPr>
    </xdr:pic>
  </etc:cellImage>
  <etc:cellImage>
    <xdr:pic>
      <xdr:nvPicPr>
        <xdr:cNvPr id="494" name="ID_5182F4C0989C4C13A79A8FDDEB1A0910" descr="482"/>
        <xdr:cNvPicPr/>
      </xdr:nvPicPr>
      <xdr:blipFill>
        <a:blip r:embed="rId99"/>
        <a:srcRect/>
        <a:stretch>
          <a:fillRect/>
        </a:stretch>
      </xdr:blipFill>
      <xdr:spPr>
        <a:xfrm>
          <a:off x="1762760" y="171832270"/>
          <a:ext cx="819150" cy="360045"/>
        </a:xfrm>
        <a:prstGeom prst="rect">
          <a:avLst/>
        </a:prstGeom>
        <a:noFill/>
      </xdr:spPr>
    </xdr:pic>
  </etc:cellImage>
  <etc:cellImage>
    <xdr:pic>
      <xdr:nvPicPr>
        <xdr:cNvPr id="493" name="ID_C98D788499544154B2C1E56CEB634EC5" descr="481"/>
        <xdr:cNvPicPr/>
      </xdr:nvPicPr>
      <xdr:blipFill>
        <a:blip r:embed="rId100"/>
        <a:srcRect/>
        <a:stretch>
          <a:fillRect/>
        </a:stretch>
      </xdr:blipFill>
      <xdr:spPr>
        <a:xfrm>
          <a:off x="1786890" y="171475400"/>
          <a:ext cx="367665" cy="332740"/>
        </a:xfrm>
        <a:prstGeom prst="rect">
          <a:avLst/>
        </a:prstGeom>
        <a:noFill/>
      </xdr:spPr>
    </xdr:pic>
  </etc:cellImage>
  <etc:cellImage>
    <xdr:pic>
      <xdr:nvPicPr>
        <xdr:cNvPr id="491" name="ID_F23535ABA1EA436CB1FB44F46DDDF2BB" descr="462"/>
        <xdr:cNvPicPr/>
      </xdr:nvPicPr>
      <xdr:blipFill>
        <a:blip r:embed="rId101"/>
        <a:srcRect/>
        <a:stretch>
          <a:fillRect/>
        </a:stretch>
      </xdr:blipFill>
      <xdr:spPr>
        <a:xfrm>
          <a:off x="1786255" y="170701970"/>
          <a:ext cx="346075" cy="341630"/>
        </a:xfrm>
        <a:prstGeom prst="rect">
          <a:avLst/>
        </a:prstGeom>
        <a:noFill/>
      </xdr:spPr>
    </xdr:pic>
  </etc:cellImage>
  <etc:cellImage>
    <xdr:pic>
      <xdr:nvPicPr>
        <xdr:cNvPr id="122" name="ID_737BB682C03E4F0E98D7C3C082F240EC" descr="core_image_url__exec_download_3149878528"/>
        <xdr:cNvPicPr/>
      </xdr:nvPicPr>
      <xdr:blipFill>
        <a:blip r:embed="rId102"/>
        <a:stretch>
          <a:fillRect/>
        </a:stretch>
      </xdr:blipFill>
      <xdr:spPr>
        <a:xfrm>
          <a:off x="0" y="0"/>
          <a:ext cx="1457325" cy="781050"/>
        </a:xfrm>
        <a:prstGeom prst="rect">
          <a:avLst/>
        </a:prstGeom>
      </xdr:spPr>
    </xdr:pic>
  </etc:cellImage>
  <etc:cellImage>
    <xdr:pic>
      <xdr:nvPicPr>
        <xdr:cNvPr id="489" name="ID_AA79C4E8C29F478C98E32B836C96272B" descr="441"/>
        <xdr:cNvPicPr/>
      </xdr:nvPicPr>
      <xdr:blipFill>
        <a:blip r:embed="rId103"/>
        <a:srcRect/>
        <a:stretch>
          <a:fillRect/>
        </a:stretch>
      </xdr:blipFill>
      <xdr:spPr>
        <a:xfrm>
          <a:off x="1746250" y="168402000"/>
          <a:ext cx="419735" cy="355600"/>
        </a:xfrm>
        <a:prstGeom prst="rect">
          <a:avLst/>
        </a:prstGeom>
        <a:noFill/>
      </xdr:spPr>
    </xdr:pic>
  </etc:cellImage>
  <etc:cellImage>
    <xdr:pic>
      <xdr:nvPicPr>
        <xdr:cNvPr id="487" name="ID_A04C6572E938461F907209277A661F68" descr="439"/>
        <xdr:cNvPicPr/>
      </xdr:nvPicPr>
      <xdr:blipFill>
        <a:blip r:embed="rId104"/>
        <a:srcRect/>
        <a:stretch>
          <a:fillRect/>
        </a:stretch>
      </xdr:blipFill>
      <xdr:spPr>
        <a:xfrm>
          <a:off x="1746250" y="167640000"/>
          <a:ext cx="367030" cy="354330"/>
        </a:xfrm>
        <a:prstGeom prst="rect">
          <a:avLst/>
        </a:prstGeom>
        <a:noFill/>
      </xdr:spPr>
    </xdr:pic>
  </etc:cellImage>
  <etc:cellImage>
    <xdr:pic>
      <xdr:nvPicPr>
        <xdr:cNvPr id="451" name="ID_25949B28CB8F44AE891A0F50F3691A9C" descr="231"/>
        <xdr:cNvPicPr/>
      </xdr:nvPicPr>
      <xdr:blipFill>
        <a:blip r:embed="rId105"/>
        <a:srcRect/>
        <a:stretch>
          <a:fillRect/>
        </a:stretch>
      </xdr:blipFill>
      <xdr:spPr>
        <a:xfrm>
          <a:off x="1786255" y="159301180"/>
          <a:ext cx="923290" cy="285750"/>
        </a:xfrm>
        <a:prstGeom prst="rect">
          <a:avLst/>
        </a:prstGeom>
        <a:noFill/>
      </xdr:spPr>
    </xdr:pic>
  </etc:cellImage>
  <etc:cellImage>
    <xdr:pic>
      <xdr:nvPicPr>
        <xdr:cNvPr id="443" name="ID_BC265FC7EE504896A3CDB6D15821F590" descr="393"/>
        <xdr:cNvPicPr/>
      </xdr:nvPicPr>
      <xdr:blipFill>
        <a:blip r:embed="rId106"/>
        <a:srcRect/>
        <a:stretch>
          <a:fillRect/>
        </a:stretch>
      </xdr:blipFill>
      <xdr:spPr>
        <a:xfrm>
          <a:off x="1778635" y="158135320"/>
          <a:ext cx="589915" cy="478155"/>
        </a:xfrm>
        <a:prstGeom prst="rect">
          <a:avLst/>
        </a:prstGeom>
        <a:noFill/>
      </xdr:spPr>
    </xdr:pic>
  </etc:cellImage>
  <etc:cellImage>
    <xdr:pic>
      <xdr:nvPicPr>
        <xdr:cNvPr id="400" name="ID_F75DC6533B0A436D9B148CA3803A7DDD" descr="104"/>
        <xdr:cNvPicPr/>
      </xdr:nvPicPr>
      <xdr:blipFill>
        <a:blip r:embed="rId107"/>
        <a:srcRect/>
        <a:stretch>
          <a:fillRect/>
        </a:stretch>
      </xdr:blipFill>
      <xdr:spPr>
        <a:xfrm>
          <a:off x="1855470" y="149760305"/>
          <a:ext cx="576580" cy="329565"/>
        </a:xfrm>
        <a:prstGeom prst="rect">
          <a:avLst/>
        </a:prstGeom>
        <a:noFill/>
      </xdr:spPr>
    </xdr:pic>
  </etc:cellImage>
  <etc:cellImage>
    <xdr:pic>
      <xdr:nvPicPr>
        <xdr:cNvPr id="33" name="ID_35DC8CA855EA41569B223F33E8288EC6" descr="core_image_url__exec_download_1594331736"/>
        <xdr:cNvPicPr/>
      </xdr:nvPicPr>
      <xdr:blipFill>
        <a:blip r:embed="rId108"/>
        <a:stretch>
          <a:fillRect/>
        </a:stretch>
      </xdr:blipFill>
      <xdr:spPr>
        <a:xfrm>
          <a:off x="0" y="0"/>
          <a:ext cx="2076450" cy="1752600"/>
        </a:xfrm>
        <a:prstGeom prst="rect">
          <a:avLst/>
        </a:prstGeom>
      </xdr:spPr>
    </xdr:pic>
  </etc:cellImage>
  <etc:cellImage>
    <xdr:pic>
      <xdr:nvPicPr>
        <xdr:cNvPr id="246" name="ID_C52CB1FF373C45BF96FCB56186A5CA25" descr="169"/>
        <xdr:cNvPicPr/>
      </xdr:nvPicPr>
      <xdr:blipFill>
        <a:blip r:embed="rId109"/>
        <a:srcRect/>
        <a:stretch>
          <a:fillRect/>
        </a:stretch>
      </xdr:blipFill>
      <xdr:spPr>
        <a:xfrm>
          <a:off x="1818005" y="94511495"/>
          <a:ext cx="859790" cy="342900"/>
        </a:xfrm>
        <a:prstGeom prst="rect">
          <a:avLst/>
        </a:prstGeom>
        <a:noFill/>
      </xdr:spPr>
    </xdr:pic>
  </etc:cellImage>
  <etc:cellImage>
    <xdr:pic>
      <xdr:nvPicPr>
        <xdr:cNvPr id="301" name="ID_1676FAA30C754D5AA35C5921E491FF36" descr="464"/>
        <xdr:cNvPicPr/>
      </xdr:nvPicPr>
      <xdr:blipFill>
        <a:blip r:embed="rId110"/>
        <a:srcRect/>
        <a:stretch>
          <a:fillRect/>
        </a:stretch>
      </xdr:blipFill>
      <xdr:spPr>
        <a:xfrm>
          <a:off x="1771650" y="123469400"/>
          <a:ext cx="638175" cy="341630"/>
        </a:xfrm>
        <a:prstGeom prst="rect">
          <a:avLst/>
        </a:prstGeom>
        <a:noFill/>
      </xdr:spPr>
    </xdr:pic>
  </etc:cellImage>
  <etc:cellImage>
    <xdr:pic>
      <xdr:nvPicPr>
        <xdr:cNvPr id="284" name="ID_D49E04C3C9F54EAC8EC2EEF8A173BDD6" descr="170"/>
        <xdr:cNvPicPr/>
      </xdr:nvPicPr>
      <xdr:blipFill>
        <a:blip r:embed="rId111"/>
        <a:srcRect/>
        <a:stretch>
          <a:fillRect/>
        </a:stretch>
      </xdr:blipFill>
      <xdr:spPr>
        <a:xfrm>
          <a:off x="1980565" y="109085380"/>
          <a:ext cx="546735" cy="387350"/>
        </a:xfrm>
        <a:prstGeom prst="rect">
          <a:avLst/>
        </a:prstGeom>
        <a:noFill/>
      </xdr:spPr>
    </xdr:pic>
  </etc:cellImage>
  <etc:cellImage>
    <xdr:pic>
      <xdr:nvPicPr>
        <xdr:cNvPr id="270" name="ID_BC1B37905B474ECCB2EDFFA1657D8558" descr="227"/>
        <xdr:cNvPicPr/>
      </xdr:nvPicPr>
      <xdr:blipFill>
        <a:blip r:embed="rId106"/>
        <a:srcRect/>
        <a:stretch>
          <a:fillRect/>
        </a:stretch>
      </xdr:blipFill>
      <xdr:spPr>
        <a:xfrm>
          <a:off x="1915795" y="102896670"/>
          <a:ext cx="594995" cy="476250"/>
        </a:xfrm>
        <a:prstGeom prst="rect">
          <a:avLst/>
        </a:prstGeom>
        <a:noFill/>
      </xdr:spPr>
    </xdr:pic>
  </etc:cellImage>
  <etc:cellImage>
    <xdr:pic>
      <xdr:nvPicPr>
        <xdr:cNvPr id="611" name="ID_5FA13EB0119847E0ADC1613A23CA66D0" descr="237"/>
        <xdr:cNvPicPr/>
      </xdr:nvPicPr>
      <xdr:blipFill>
        <a:blip r:embed="rId112"/>
        <a:srcRect/>
        <a:stretch>
          <a:fillRect/>
        </a:stretch>
      </xdr:blipFill>
      <xdr:spPr>
        <a:xfrm>
          <a:off x="1757045" y="230124000"/>
          <a:ext cx="533400" cy="374015"/>
        </a:xfrm>
        <a:prstGeom prst="rect">
          <a:avLst/>
        </a:prstGeom>
        <a:noFill/>
      </xdr:spPr>
    </xdr:pic>
  </etc:cellImage>
  <etc:cellImage>
    <xdr:pic>
      <xdr:nvPicPr>
        <xdr:cNvPr id="201" name="ID_539F5E5DEA0C48B7A2B6D490C86C1606" descr="core_image_url__exec_download_3756592489"/>
        <xdr:cNvPicPr/>
      </xdr:nvPicPr>
      <xdr:blipFill>
        <a:blip r:embed="rId113"/>
        <a:stretch>
          <a:fillRect/>
        </a:stretch>
      </xdr:blipFill>
      <xdr:spPr>
        <a:xfrm>
          <a:off x="0" y="0"/>
          <a:ext cx="914400" cy="723900"/>
        </a:xfrm>
        <a:prstGeom prst="rect">
          <a:avLst/>
        </a:prstGeom>
      </xdr:spPr>
    </xdr:pic>
  </etc:cellImage>
  <etc:cellImage>
    <xdr:pic>
      <xdr:nvPicPr>
        <xdr:cNvPr id="466" name="ID_A954BB044FD54F1081E121C938FF1D98" descr="544"/>
        <xdr:cNvPicPr/>
      </xdr:nvPicPr>
      <xdr:blipFill>
        <a:blip r:embed="rId114"/>
        <a:srcRect/>
        <a:stretch>
          <a:fillRect/>
        </a:stretch>
      </xdr:blipFill>
      <xdr:spPr>
        <a:xfrm>
          <a:off x="1799590" y="162429825"/>
          <a:ext cx="716280" cy="217805"/>
        </a:xfrm>
        <a:prstGeom prst="rect">
          <a:avLst/>
        </a:prstGeom>
        <a:noFill/>
      </xdr:spPr>
    </xdr:pic>
  </etc:cellImage>
  <etc:cellImage>
    <xdr:pic>
      <xdr:nvPicPr>
        <xdr:cNvPr id="498" name="ID_2C834C64567445BEBBFBAAA53287FAE5" descr="442"/>
        <xdr:cNvPicPr/>
      </xdr:nvPicPr>
      <xdr:blipFill>
        <a:blip r:embed="rId115"/>
        <a:srcRect/>
        <a:stretch>
          <a:fillRect/>
        </a:stretch>
      </xdr:blipFill>
      <xdr:spPr>
        <a:xfrm>
          <a:off x="1760855" y="173059725"/>
          <a:ext cx="1262380" cy="214630"/>
        </a:xfrm>
        <a:prstGeom prst="rect">
          <a:avLst/>
        </a:prstGeom>
        <a:noFill/>
      </xdr:spPr>
    </xdr:pic>
  </etc:cellImage>
  <etc:cellImage>
    <xdr:pic>
      <xdr:nvPicPr>
        <xdr:cNvPr id="5" name="ID_9E1A42111E8D4115996D7BA8DDD03F58" descr="core_image_url__exec_download_1950975961"/>
        <xdr:cNvPicPr/>
      </xdr:nvPicPr>
      <xdr:blipFill>
        <a:blip r:embed="rId116"/>
        <a:stretch>
          <a:fillRect/>
        </a:stretch>
      </xdr:blipFill>
      <xdr:spPr>
        <a:xfrm>
          <a:off x="0" y="0"/>
          <a:ext cx="2438400" cy="1162050"/>
        </a:xfrm>
        <a:prstGeom prst="rect">
          <a:avLst/>
        </a:prstGeom>
      </xdr:spPr>
    </xdr:pic>
  </etc:cellImage>
  <etc:cellImage>
    <xdr:pic>
      <xdr:nvPicPr>
        <xdr:cNvPr id="630" name="ID_D4C78891BC6F47FE8EBFCBE246CE5D0A" descr="362"/>
        <xdr:cNvPicPr/>
      </xdr:nvPicPr>
      <xdr:blipFill>
        <a:blip r:embed="rId117"/>
        <a:srcRect/>
        <a:stretch>
          <a:fillRect/>
        </a:stretch>
      </xdr:blipFill>
      <xdr:spPr>
        <a:xfrm>
          <a:off x="2152650" y="238298355"/>
          <a:ext cx="492760" cy="516255"/>
        </a:xfrm>
        <a:prstGeom prst="rect">
          <a:avLst/>
        </a:prstGeom>
        <a:noFill/>
      </xdr:spPr>
    </xdr:pic>
  </etc:cellImage>
  <etc:cellImage>
    <xdr:pic>
      <xdr:nvPicPr>
        <xdr:cNvPr id="628" name="ID_23038F479EE34ED7B3C6B8308D1F6E0E" descr="347"/>
        <xdr:cNvPicPr/>
      </xdr:nvPicPr>
      <xdr:blipFill>
        <a:blip r:embed="rId118"/>
        <a:srcRect/>
        <a:stretch>
          <a:fillRect/>
        </a:stretch>
      </xdr:blipFill>
      <xdr:spPr>
        <a:xfrm>
          <a:off x="1746250" y="237744000"/>
          <a:ext cx="294640" cy="370205"/>
        </a:xfrm>
        <a:prstGeom prst="rect">
          <a:avLst/>
        </a:prstGeom>
        <a:noFill/>
      </xdr:spPr>
    </xdr:pic>
  </etc:cellImage>
  <etc:cellImage>
    <xdr:pic>
      <xdr:nvPicPr>
        <xdr:cNvPr id="610" name="ID_C3E1333CFFB84FE8BA10B523CBABC1A6" descr="236"/>
        <xdr:cNvPicPr/>
      </xdr:nvPicPr>
      <xdr:blipFill>
        <a:blip r:embed="rId119"/>
        <a:srcRect/>
        <a:stretch>
          <a:fillRect/>
        </a:stretch>
      </xdr:blipFill>
      <xdr:spPr>
        <a:xfrm>
          <a:off x="1927225" y="229866190"/>
          <a:ext cx="818515" cy="353695"/>
        </a:xfrm>
        <a:prstGeom prst="rect">
          <a:avLst/>
        </a:prstGeom>
        <a:noFill/>
      </xdr:spPr>
    </xdr:pic>
  </etc:cellImage>
  <etc:cellImage>
    <xdr:pic>
      <xdr:nvPicPr>
        <xdr:cNvPr id="626" name="ID_D8F7147F03774C4D911512FE728ED639" descr="core_image_url__exec_download_590677720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2157730" y="237379510"/>
          <a:ext cx="339725" cy="358140"/>
        </a:xfrm>
        <a:prstGeom prst="rect">
          <a:avLst/>
        </a:prstGeom>
      </xdr:spPr>
    </xdr:pic>
  </etc:cellImage>
  <etc:cellImage>
    <xdr:pic>
      <xdr:nvPicPr>
        <xdr:cNvPr id="533" name="ID_872CBB0D67A04704A30A2A8407C21553" descr="386"/>
        <xdr:cNvPicPr/>
      </xdr:nvPicPr>
      <xdr:blipFill>
        <a:blip r:embed="rId121"/>
        <a:srcRect/>
        <a:stretch>
          <a:fillRect/>
        </a:stretch>
      </xdr:blipFill>
      <xdr:spPr>
        <a:xfrm>
          <a:off x="1871345" y="189813565"/>
          <a:ext cx="498475" cy="387985"/>
        </a:xfrm>
        <a:prstGeom prst="rect">
          <a:avLst/>
        </a:prstGeom>
        <a:noFill/>
      </xdr:spPr>
    </xdr:pic>
  </etc:cellImage>
  <etc:cellImage>
    <xdr:pic>
      <xdr:nvPicPr>
        <xdr:cNvPr id="499" name="ID_54F0520EA7C34C83888B27445117E0B8" descr="443"/>
        <xdr:cNvPicPr/>
      </xdr:nvPicPr>
      <xdr:blipFill>
        <a:blip r:embed="rId122"/>
        <a:srcRect/>
        <a:stretch>
          <a:fillRect/>
        </a:stretch>
      </xdr:blipFill>
      <xdr:spPr>
        <a:xfrm>
          <a:off x="1799590" y="173355000"/>
          <a:ext cx="525145" cy="363855"/>
        </a:xfrm>
        <a:prstGeom prst="rect">
          <a:avLst/>
        </a:prstGeom>
        <a:noFill/>
      </xdr:spPr>
    </xdr:pic>
  </etc:cellImage>
  <etc:cellImage>
    <xdr:pic>
      <xdr:nvPicPr>
        <xdr:cNvPr id="449" name="ID_BE5BC7F3AF5F4153BAD8B60F96F33E80" descr="230"/>
        <xdr:cNvPicPr/>
      </xdr:nvPicPr>
      <xdr:blipFill>
        <a:blip r:embed="rId123"/>
        <a:srcRect/>
        <a:stretch>
          <a:fillRect/>
        </a:stretch>
      </xdr:blipFill>
      <xdr:spPr>
        <a:xfrm>
          <a:off x="1807210" y="158897955"/>
          <a:ext cx="420370" cy="336550"/>
        </a:xfrm>
        <a:prstGeom prst="rect">
          <a:avLst/>
        </a:prstGeom>
        <a:noFill/>
      </xdr:spPr>
    </xdr:pic>
  </etc:cellImage>
  <etc:cellImage>
    <xdr:pic>
      <xdr:nvPicPr>
        <xdr:cNvPr id="258" name="ID_DA60608827B84E148E0E2745E5439712" descr="513"/>
        <xdr:cNvPicPr/>
      </xdr:nvPicPr>
      <xdr:blipFill>
        <a:blip r:embed="rId124"/>
        <a:srcRect/>
        <a:stretch>
          <a:fillRect/>
        </a:stretch>
      </xdr:blipFill>
      <xdr:spPr>
        <a:xfrm>
          <a:off x="1776095" y="99465130"/>
          <a:ext cx="334010" cy="349250"/>
        </a:xfrm>
        <a:prstGeom prst="rect">
          <a:avLst/>
        </a:prstGeom>
        <a:noFill/>
      </xdr:spPr>
    </xdr:pic>
  </etc:cellImage>
  <etc:cellImage>
    <xdr:pic>
      <xdr:nvPicPr>
        <xdr:cNvPr id="622" name="ID_CC60D81FE1674021A93F8E10844962A7" descr="13"/>
        <xdr:cNvPicPr/>
      </xdr:nvPicPr>
      <xdr:blipFill>
        <a:blip r:embed="rId125"/>
        <a:srcRect/>
        <a:stretch>
          <a:fillRect/>
        </a:stretch>
      </xdr:blipFill>
      <xdr:spPr>
        <a:xfrm>
          <a:off x="1750060" y="234707430"/>
          <a:ext cx="885190" cy="362585"/>
        </a:xfrm>
        <a:prstGeom prst="rect">
          <a:avLst/>
        </a:prstGeom>
        <a:noFill/>
      </xdr:spPr>
    </xdr:pic>
  </etc:cellImage>
  <etc:cellImage>
    <xdr:pic>
      <xdr:nvPicPr>
        <xdr:cNvPr id="476" name="ID_FB676958E718414CB71D151A20013BFC" descr="64"/>
        <xdr:cNvPicPr/>
      </xdr:nvPicPr>
      <xdr:blipFill>
        <a:blip r:embed="rId126"/>
        <a:srcRect/>
        <a:stretch>
          <a:fillRect/>
        </a:stretch>
      </xdr:blipFill>
      <xdr:spPr>
        <a:xfrm>
          <a:off x="1793240" y="164612955"/>
          <a:ext cx="354330" cy="335280"/>
        </a:xfrm>
        <a:prstGeom prst="rect">
          <a:avLst/>
        </a:prstGeom>
        <a:noFill/>
      </xdr:spPr>
    </xdr:pic>
  </etc:cellImage>
  <etc:cellImage>
    <xdr:pic>
      <xdr:nvPicPr>
        <xdr:cNvPr id="620" name="ID_334D1D9BA354492D8F22052211C62BF1" descr="12"/>
        <xdr:cNvPicPr/>
      </xdr:nvPicPr>
      <xdr:blipFill>
        <a:blip r:embed="rId127"/>
        <a:srcRect/>
        <a:stretch>
          <a:fillRect/>
        </a:stretch>
      </xdr:blipFill>
      <xdr:spPr>
        <a:xfrm>
          <a:off x="1747520" y="233934000"/>
          <a:ext cx="836930" cy="360680"/>
        </a:xfrm>
        <a:prstGeom prst="rect">
          <a:avLst/>
        </a:prstGeom>
        <a:noFill/>
      </xdr:spPr>
    </xdr:pic>
  </etc:cellImage>
  <etc:cellImage>
    <xdr:pic>
      <xdr:nvPicPr>
        <xdr:cNvPr id="463" name="ID_17CAB174CC774A64BD28EF58AC907A2D" descr="143"/>
        <xdr:cNvPicPr/>
      </xdr:nvPicPr>
      <xdr:blipFill>
        <a:blip r:embed="rId128"/>
        <a:srcRect/>
        <a:stretch>
          <a:fillRect/>
        </a:stretch>
      </xdr:blipFill>
      <xdr:spPr>
        <a:xfrm>
          <a:off x="1781810" y="161594800"/>
          <a:ext cx="576580" cy="300355"/>
        </a:xfrm>
        <a:prstGeom prst="rect">
          <a:avLst/>
        </a:prstGeom>
        <a:noFill/>
      </xdr:spPr>
    </xdr:pic>
  </etc:cellImage>
  <etc:cellImage>
    <xdr:pic>
      <xdr:nvPicPr>
        <xdr:cNvPr id="619" name="ID_203891B22F5040838E5A1ADB8EFA70E1" descr="11"/>
        <xdr:cNvPicPr/>
      </xdr:nvPicPr>
      <xdr:blipFill>
        <a:blip r:embed="rId129"/>
        <a:srcRect/>
        <a:stretch>
          <a:fillRect/>
        </a:stretch>
      </xdr:blipFill>
      <xdr:spPr>
        <a:xfrm>
          <a:off x="1760220" y="233625390"/>
          <a:ext cx="1047115" cy="321310"/>
        </a:xfrm>
        <a:prstGeom prst="rect">
          <a:avLst/>
        </a:prstGeom>
        <a:noFill/>
      </xdr:spPr>
    </xdr:pic>
  </etc:cellImage>
  <etc:cellImage>
    <xdr:pic>
      <xdr:nvPicPr>
        <xdr:cNvPr id="673" name="ID_1F146D200D484DE3BB9FBA7C0327FDB1" descr="core_image_url__exec_download_3624795866"/>
        <xdr:cNvPicPr/>
      </xdr:nvPicPr>
      <xdr:blipFill>
        <a:blip r:embed="rId58"/>
        <a:stretch>
          <a:fillRect/>
        </a:stretch>
      </xdr:blipFill>
      <xdr:spPr>
        <a:xfrm>
          <a:off x="0" y="0"/>
          <a:ext cx="5105400" cy="3257550"/>
        </a:xfrm>
        <a:prstGeom prst="rect">
          <a:avLst/>
        </a:prstGeom>
      </xdr:spPr>
    </xdr:pic>
  </etc:cellImage>
  <etc:cellImage>
    <xdr:pic>
      <xdr:nvPicPr>
        <xdr:cNvPr id="618" name="ID_D34D9A578D9F486E9C4D8C84904E8ECF" descr="10"/>
        <xdr:cNvPicPr/>
      </xdr:nvPicPr>
      <xdr:blipFill>
        <a:blip r:embed="rId130"/>
        <a:srcRect/>
        <a:stretch>
          <a:fillRect/>
        </a:stretch>
      </xdr:blipFill>
      <xdr:spPr>
        <a:xfrm>
          <a:off x="1747520" y="233182160"/>
          <a:ext cx="855345" cy="273050"/>
        </a:xfrm>
        <a:prstGeom prst="rect">
          <a:avLst/>
        </a:prstGeom>
        <a:noFill/>
      </xdr:spPr>
    </xdr:pic>
  </etc:cellImage>
  <etc:cellImage>
    <xdr:pic>
      <xdr:nvPicPr>
        <xdr:cNvPr id="616" name="ID_7AA2D3AAB4D54E9B9A755E0A29C1447C" descr="6"/>
        <xdr:cNvPicPr/>
      </xdr:nvPicPr>
      <xdr:blipFill>
        <a:blip r:embed="rId131"/>
        <a:srcRect/>
        <a:stretch>
          <a:fillRect/>
        </a:stretch>
      </xdr:blipFill>
      <xdr:spPr>
        <a:xfrm>
          <a:off x="1755140" y="232419525"/>
          <a:ext cx="655320" cy="327660"/>
        </a:xfrm>
        <a:prstGeom prst="rect">
          <a:avLst/>
        </a:prstGeom>
        <a:noFill/>
      </xdr:spPr>
    </xdr:pic>
  </etc:cellImage>
  <etc:cellImage>
    <xdr:pic>
      <xdr:nvPicPr>
        <xdr:cNvPr id="613" name="ID_5A5841AE0ACF4C56BD941176177BEE8B" descr="239"/>
        <xdr:cNvPicPr/>
      </xdr:nvPicPr>
      <xdr:blipFill>
        <a:blip r:embed="rId132"/>
        <a:srcRect/>
        <a:stretch>
          <a:fillRect/>
        </a:stretch>
      </xdr:blipFill>
      <xdr:spPr>
        <a:xfrm>
          <a:off x="1755775" y="230897430"/>
          <a:ext cx="492760" cy="346075"/>
        </a:xfrm>
        <a:prstGeom prst="rect">
          <a:avLst/>
        </a:prstGeom>
        <a:noFill/>
      </xdr:spPr>
    </xdr:pic>
  </etc:cellImage>
  <etc:cellImage>
    <xdr:pic>
      <xdr:nvPicPr>
        <xdr:cNvPr id="637" name="ID_A5D7BED545C649CB93FE72E8081B2EC9" descr="74"/>
        <xdr:cNvPicPr/>
      </xdr:nvPicPr>
      <xdr:blipFill>
        <a:blip r:embed="rId47"/>
        <a:srcRect/>
        <a:stretch>
          <a:fillRect/>
        </a:stretch>
      </xdr:blipFill>
      <xdr:spPr>
        <a:xfrm>
          <a:off x="1761490" y="241179350"/>
          <a:ext cx="434340" cy="370205"/>
        </a:xfrm>
        <a:prstGeom prst="rect">
          <a:avLst/>
        </a:prstGeom>
        <a:noFill/>
      </xdr:spPr>
    </xdr:pic>
  </etc:cellImage>
  <etc:cellImage>
    <xdr:pic>
      <xdr:nvPicPr>
        <xdr:cNvPr id="621" name="ID_D57CF1D0EE73467182E3FD236B267E45" descr="399"/>
        <xdr:cNvPicPr/>
      </xdr:nvPicPr>
      <xdr:blipFill>
        <a:blip r:embed="rId133"/>
        <a:srcRect/>
        <a:stretch>
          <a:fillRect/>
        </a:stretch>
      </xdr:blipFill>
      <xdr:spPr>
        <a:xfrm>
          <a:off x="1753870" y="234322620"/>
          <a:ext cx="837565" cy="358775"/>
        </a:xfrm>
        <a:prstGeom prst="rect">
          <a:avLst/>
        </a:prstGeom>
        <a:noFill/>
      </xdr:spPr>
    </xdr:pic>
  </etc:cellImage>
  <etc:cellImage>
    <xdr:pic>
      <xdr:nvPicPr>
        <xdr:cNvPr id="612" name="ID_256D97DA9214464CA995729580925324" descr="238"/>
        <xdr:cNvPicPr/>
      </xdr:nvPicPr>
      <xdr:blipFill>
        <a:blip r:embed="rId134"/>
        <a:srcRect/>
        <a:stretch>
          <a:fillRect/>
        </a:stretch>
      </xdr:blipFill>
      <xdr:spPr>
        <a:xfrm>
          <a:off x="1753235" y="230509445"/>
          <a:ext cx="247015" cy="363220"/>
        </a:xfrm>
        <a:prstGeom prst="rect">
          <a:avLst/>
        </a:prstGeom>
        <a:noFill/>
      </xdr:spPr>
    </xdr:pic>
  </etc:cellImage>
  <etc:cellImage>
    <xdr:pic>
      <xdr:nvPicPr>
        <xdr:cNvPr id="500" name="ID_E13A6A8F7F9D424D8C03DE6942B3064A" descr="core_image_url__exec_download_4093736903"/>
        <xdr:cNvPicPr/>
      </xdr:nvPicPr>
      <xdr:blipFill>
        <a:blip r:embed="rId135"/>
        <a:stretch>
          <a:fillRect/>
        </a:stretch>
      </xdr:blipFill>
      <xdr:spPr>
        <a:xfrm>
          <a:off x="0" y="0"/>
          <a:ext cx="2152650" cy="2120900"/>
        </a:xfrm>
        <a:prstGeom prst="rect">
          <a:avLst/>
        </a:prstGeom>
      </xdr:spPr>
    </xdr:pic>
  </etc:cellImage>
  <etc:cellImage>
    <xdr:pic>
      <xdr:nvPicPr>
        <xdr:cNvPr id="575" name="ID_2DD34A6B8ED243AAA391C38F9389F9E4" descr="203"/>
        <xdr:cNvPicPr>
          <a:picLocks noChangeAspect="1"/>
        </xdr:cNvPicPr>
      </xdr:nvPicPr>
      <xdr:blipFill>
        <a:blip r:embed="rId136"/>
        <a:srcRect/>
        <a:stretch>
          <a:fillRect/>
        </a:stretch>
      </xdr:blipFill>
      <xdr:spPr>
        <a:xfrm>
          <a:off x="1897380" y="212252560"/>
          <a:ext cx="1131570" cy="341630"/>
        </a:xfrm>
        <a:prstGeom prst="rect">
          <a:avLst/>
        </a:prstGeom>
        <a:noFill/>
      </xdr:spPr>
    </xdr:pic>
  </etc:cellImage>
  <etc:cellImage>
    <xdr:pic>
      <xdr:nvPicPr>
        <xdr:cNvPr id="441" name="ID_0F23B24B29D14CED96970FEDE9FE895A" descr="202"/>
        <xdr:cNvPicPr/>
      </xdr:nvPicPr>
      <xdr:blipFill>
        <a:blip r:embed="rId137"/>
        <a:srcRect/>
        <a:stretch>
          <a:fillRect/>
        </a:stretch>
      </xdr:blipFill>
      <xdr:spPr>
        <a:xfrm>
          <a:off x="4893310" y="230551355"/>
          <a:ext cx="1553845" cy="767080"/>
        </a:xfrm>
        <a:prstGeom prst="rect">
          <a:avLst/>
        </a:prstGeom>
        <a:noFill/>
      </xdr:spPr>
    </xdr:pic>
  </etc:cellImage>
  <etc:cellImage>
    <xdr:pic>
      <xdr:nvPicPr>
        <xdr:cNvPr id="170" name="ID_E771A8C28A5A455E924B1D08F2218F93" descr="525"/>
        <xdr:cNvPicPr/>
      </xdr:nvPicPr>
      <xdr:blipFill>
        <a:blip r:embed="rId48"/>
        <a:srcRect/>
        <a:stretch>
          <a:fillRect/>
        </a:stretch>
      </xdr:blipFill>
      <xdr:spPr>
        <a:xfrm>
          <a:off x="2001520" y="51161315"/>
          <a:ext cx="619125" cy="367665"/>
        </a:xfrm>
        <a:prstGeom prst="rect">
          <a:avLst/>
        </a:prstGeom>
        <a:noFill/>
      </xdr:spPr>
    </xdr:pic>
  </etc:cellImage>
  <etc:cellImage>
    <xdr:pic>
      <xdr:nvPicPr>
        <xdr:cNvPr id="571" name="ID_0A999397A04C449089B60E0A091D9CCF" descr="113"/>
        <xdr:cNvPicPr/>
      </xdr:nvPicPr>
      <xdr:blipFill>
        <a:blip r:embed="rId138"/>
        <a:srcRect/>
        <a:stretch>
          <a:fillRect/>
        </a:stretch>
      </xdr:blipFill>
      <xdr:spPr>
        <a:xfrm>
          <a:off x="1749425" y="211077175"/>
          <a:ext cx="545465" cy="369570"/>
        </a:xfrm>
        <a:prstGeom prst="rect">
          <a:avLst/>
        </a:prstGeom>
        <a:noFill/>
      </xdr:spPr>
    </xdr:pic>
  </etc:cellImage>
  <etc:cellImage>
    <xdr:pic>
      <xdr:nvPicPr>
        <xdr:cNvPr id="488" name="ID_E64A05387D8A47E5AC54E184F0F442A0" descr="440"/>
        <xdr:cNvPicPr/>
      </xdr:nvPicPr>
      <xdr:blipFill>
        <a:blip r:embed="rId103"/>
        <a:srcRect/>
        <a:stretch>
          <a:fillRect/>
        </a:stretch>
      </xdr:blipFill>
      <xdr:spPr>
        <a:xfrm>
          <a:off x="1786255" y="168021000"/>
          <a:ext cx="407670" cy="348615"/>
        </a:xfrm>
        <a:prstGeom prst="rect">
          <a:avLst/>
        </a:prstGeom>
        <a:noFill/>
      </xdr:spPr>
    </xdr:pic>
  </etc:cellImage>
  <etc:cellImage>
    <xdr:pic>
      <xdr:nvPicPr>
        <xdr:cNvPr id="570" name="ID_6F4B8C7E62744223A88E7272BD01BBF0" descr="112"/>
        <xdr:cNvPicPr/>
      </xdr:nvPicPr>
      <xdr:blipFill>
        <a:blip r:embed="rId139"/>
        <a:srcRect/>
        <a:stretch>
          <a:fillRect/>
        </a:stretch>
      </xdr:blipFill>
      <xdr:spPr>
        <a:xfrm>
          <a:off x="2035175" y="210828890"/>
          <a:ext cx="560070" cy="375920"/>
        </a:xfrm>
        <a:prstGeom prst="rect">
          <a:avLst/>
        </a:prstGeom>
        <a:noFill/>
      </xdr:spPr>
    </xdr:pic>
  </etc:cellImage>
  <etc:cellImage>
    <xdr:pic>
      <xdr:nvPicPr>
        <xdr:cNvPr id="565" name="ID_961EB3D8A74440BEBA6E96B6F3F988CC" descr="185"/>
        <xdr:cNvPicPr/>
      </xdr:nvPicPr>
      <xdr:blipFill>
        <a:blip r:embed="rId140"/>
        <a:srcRect/>
        <a:stretch>
          <a:fillRect/>
        </a:stretch>
      </xdr:blipFill>
      <xdr:spPr>
        <a:xfrm>
          <a:off x="2085975" y="205088490"/>
          <a:ext cx="836930" cy="387350"/>
        </a:xfrm>
        <a:prstGeom prst="rect">
          <a:avLst/>
        </a:prstGeom>
        <a:noFill/>
      </xdr:spPr>
    </xdr:pic>
  </etc:cellImage>
  <etc:cellImage>
    <xdr:pic>
      <xdr:nvPicPr>
        <xdr:cNvPr id="557" name="ID_87F2F4399C4444939622DE2608967297" descr="26"/>
        <xdr:cNvPicPr/>
      </xdr:nvPicPr>
      <xdr:blipFill>
        <a:blip r:embed="rId141"/>
        <a:srcRect/>
        <a:stretch>
          <a:fillRect/>
        </a:stretch>
      </xdr:blipFill>
      <xdr:spPr>
        <a:xfrm>
          <a:off x="1789430" y="201555985"/>
          <a:ext cx="803275" cy="336550"/>
        </a:xfrm>
        <a:prstGeom prst="rect">
          <a:avLst/>
        </a:prstGeom>
        <a:noFill/>
      </xdr:spPr>
    </xdr:pic>
  </etc:cellImage>
  <etc:cellImage>
    <xdr:pic>
      <xdr:nvPicPr>
        <xdr:cNvPr id="13" name="ID_ACA2274CD2304C92B770B00AD8E2C105" descr="core_image_url__exec_download_829148229"/>
        <xdr:cNvPicPr/>
      </xdr:nvPicPr>
      <xdr:blipFill>
        <a:blip r:embed="rId142"/>
        <a:stretch>
          <a:fillRect/>
        </a:stretch>
      </xdr:blipFill>
      <xdr:spPr>
        <a:xfrm>
          <a:off x="0" y="0"/>
          <a:ext cx="3048000" cy="1495425"/>
        </a:xfrm>
        <a:prstGeom prst="rect">
          <a:avLst/>
        </a:prstGeom>
      </xdr:spPr>
    </xdr:pic>
  </etc:cellImage>
  <etc:cellImage>
    <xdr:pic>
      <xdr:nvPicPr>
        <xdr:cNvPr id="671" name="ID_C13C1C579F494547822B8FEDD3563F40" descr="core_image_url__exec_download_2258605522"/>
        <xdr:cNvPicPr/>
      </xdr:nvPicPr>
      <xdr:blipFill>
        <a:blip r:embed="rId26"/>
        <a:stretch>
          <a:fillRect/>
        </a:stretch>
      </xdr:blipFill>
      <xdr:spPr>
        <a:xfrm>
          <a:off x="0" y="0"/>
          <a:ext cx="5105400" cy="3200400"/>
        </a:xfrm>
        <a:prstGeom prst="rect">
          <a:avLst/>
        </a:prstGeom>
      </xdr:spPr>
    </xdr:pic>
  </etc:cellImage>
  <etc:cellImage>
    <xdr:pic>
      <xdr:nvPicPr>
        <xdr:cNvPr id="548" name="ID_1F3C8866072C491B9F0EF55932F01D3C" descr="270"/>
        <xdr:cNvPicPr/>
      </xdr:nvPicPr>
      <xdr:blipFill>
        <a:blip r:embed="rId143"/>
        <a:srcRect/>
        <a:stretch>
          <a:fillRect/>
        </a:stretch>
      </xdr:blipFill>
      <xdr:spPr>
        <a:xfrm>
          <a:off x="1800860" y="198543545"/>
          <a:ext cx="735330" cy="312420"/>
        </a:xfrm>
        <a:prstGeom prst="rect">
          <a:avLst/>
        </a:prstGeom>
        <a:noFill/>
      </xdr:spPr>
    </xdr:pic>
  </etc:cellImage>
  <etc:cellImage>
    <xdr:pic>
      <xdr:nvPicPr>
        <xdr:cNvPr id="547" name="ID_7A2C12BFCF814DE7B2A14682B4DE3C1D" descr="267"/>
        <xdr:cNvPicPr/>
      </xdr:nvPicPr>
      <xdr:blipFill>
        <a:blip r:embed="rId144"/>
        <a:srcRect/>
        <a:stretch>
          <a:fillRect/>
        </a:stretch>
      </xdr:blipFill>
      <xdr:spPr>
        <a:xfrm>
          <a:off x="1784350" y="198139050"/>
          <a:ext cx="664210" cy="317500"/>
        </a:xfrm>
        <a:prstGeom prst="rect">
          <a:avLst/>
        </a:prstGeom>
        <a:noFill/>
      </xdr:spPr>
    </xdr:pic>
  </etc:cellImage>
  <etc:cellImage>
    <xdr:pic>
      <xdr:nvPicPr>
        <xdr:cNvPr id="546" name="ID_550AEE72D8704A3D8D0B2179A1F7E772" descr="core_image_url__exec_download_555789969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2076450" y="197755510"/>
          <a:ext cx="502285" cy="358140"/>
        </a:xfrm>
        <a:prstGeom prst="rect">
          <a:avLst/>
        </a:prstGeom>
      </xdr:spPr>
    </xdr:pic>
  </etc:cellImage>
  <etc:cellImage>
    <xdr:pic>
      <xdr:nvPicPr>
        <xdr:cNvPr id="405" name="ID_6649A4D978374F9A8D5304BD59B418EE" descr="326"/>
        <xdr:cNvPicPr/>
      </xdr:nvPicPr>
      <xdr:blipFill>
        <a:blip r:embed="rId146"/>
        <a:srcRect/>
        <a:stretch>
          <a:fillRect/>
        </a:stretch>
      </xdr:blipFill>
      <xdr:spPr>
        <a:xfrm>
          <a:off x="1840865" y="150148290"/>
          <a:ext cx="506095" cy="322580"/>
        </a:xfrm>
        <a:prstGeom prst="rect">
          <a:avLst/>
        </a:prstGeom>
        <a:noFill/>
      </xdr:spPr>
    </xdr:pic>
  </etc:cellImage>
  <etc:cellImage>
    <xdr:pic>
      <xdr:nvPicPr>
        <xdr:cNvPr id="434" name="ID_D6E57BFE8E7644BDB26897593244C625" descr="83"/>
        <xdr:cNvPicPr/>
      </xdr:nvPicPr>
      <xdr:blipFill>
        <a:blip r:embed="rId147"/>
        <a:srcRect/>
        <a:stretch>
          <a:fillRect/>
        </a:stretch>
      </xdr:blipFill>
      <xdr:spPr>
        <a:xfrm>
          <a:off x="1749425" y="138309350"/>
          <a:ext cx="570865" cy="396240"/>
        </a:xfrm>
        <a:prstGeom prst="rect">
          <a:avLst/>
        </a:prstGeom>
        <a:noFill/>
      </xdr:spPr>
    </xdr:pic>
  </etc:cellImage>
  <etc:cellImage>
    <xdr:pic>
      <xdr:nvPicPr>
        <xdr:cNvPr id="333" name="ID_F5B69C2B1362453BB9DCB18491CCAE85" descr="16"/>
        <xdr:cNvPicPr/>
      </xdr:nvPicPr>
      <xdr:blipFill>
        <a:blip r:embed="rId148"/>
        <a:srcRect/>
        <a:stretch>
          <a:fillRect/>
        </a:stretch>
      </xdr:blipFill>
      <xdr:spPr>
        <a:xfrm>
          <a:off x="1838325" y="134925435"/>
          <a:ext cx="352425" cy="294005"/>
        </a:xfrm>
        <a:prstGeom prst="rect">
          <a:avLst/>
        </a:prstGeom>
        <a:noFill/>
      </xdr:spPr>
    </xdr:pic>
  </etc:cellImage>
  <etc:cellImage>
    <xdr:pic>
      <xdr:nvPicPr>
        <xdr:cNvPr id="235" name="ID_E406FB97FBDE4A32BD34489DA4174ADC" descr="466"/>
        <xdr:cNvPicPr/>
      </xdr:nvPicPr>
      <xdr:blipFill>
        <a:blip r:embed="rId149"/>
        <a:srcRect/>
        <a:stretch>
          <a:fillRect/>
        </a:stretch>
      </xdr:blipFill>
      <xdr:spPr>
        <a:xfrm>
          <a:off x="1765300" y="90048080"/>
          <a:ext cx="552450" cy="312420"/>
        </a:xfrm>
        <a:prstGeom prst="rect">
          <a:avLst/>
        </a:prstGeom>
        <a:noFill/>
      </xdr:spPr>
    </xdr:pic>
  </etc:cellImage>
  <etc:cellImage>
    <xdr:pic>
      <xdr:nvPicPr>
        <xdr:cNvPr id="561" name="ID_EC380749CD0C400E89EF32E91C2559E0" descr="core_image_url__exec_download_25906148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2148205" y="202707875"/>
          <a:ext cx="358775" cy="358775"/>
        </a:xfrm>
        <a:prstGeom prst="rect">
          <a:avLst/>
        </a:prstGeom>
      </xdr:spPr>
    </xdr:pic>
  </etc:cellImage>
  <etc:cellImage>
    <xdr:pic>
      <xdr:nvPicPr>
        <xdr:cNvPr id="66" name="ID_9250D31B7A234D8DA0E6820E908C180B" descr="core_image_url__exec_download_3632792364"/>
        <xdr:cNvPicPr/>
      </xdr:nvPicPr>
      <xdr:blipFill>
        <a:blip r:embed="rId151"/>
        <a:stretch>
          <a:fillRect/>
        </a:stretch>
      </xdr:blipFill>
      <xdr:spPr>
        <a:xfrm>
          <a:off x="0" y="0"/>
          <a:ext cx="7620000" cy="2047875"/>
        </a:xfrm>
        <a:prstGeom prst="rect">
          <a:avLst/>
        </a:prstGeom>
      </xdr:spPr>
    </xdr:pic>
  </etc:cellImage>
  <etc:cellImage>
    <xdr:pic>
      <xdr:nvPicPr>
        <xdr:cNvPr id="532" name="ID_6A13382E98DA4BFC9E3398E7EAF2F9AB" descr="core_image_url__exec_download_2341312884"/>
        <xdr:cNvPicPr/>
      </xdr:nvPicPr>
      <xdr:blipFill>
        <a:blip r:embed="rId152"/>
        <a:stretch>
          <a:fillRect/>
        </a:stretch>
      </xdr:blipFill>
      <xdr:spPr>
        <a:xfrm>
          <a:off x="0" y="0"/>
          <a:ext cx="4330065" cy="3778250"/>
        </a:xfrm>
        <a:prstGeom prst="rect">
          <a:avLst/>
        </a:prstGeom>
      </xdr:spPr>
    </xdr:pic>
  </etc:cellImage>
  <etc:cellImage>
    <xdr:pic>
      <xdr:nvPicPr>
        <xdr:cNvPr id="232" name="ID_C6798D66EF914AB9A03BA7D80C5805A4" descr="492"/>
        <xdr:cNvPicPr/>
      </xdr:nvPicPr>
      <xdr:blipFill>
        <a:blip r:embed="rId153"/>
        <a:srcRect/>
        <a:stretch>
          <a:fillRect/>
        </a:stretch>
      </xdr:blipFill>
      <xdr:spPr>
        <a:xfrm>
          <a:off x="1851660" y="89291160"/>
          <a:ext cx="716915" cy="239395"/>
        </a:xfrm>
        <a:prstGeom prst="rect">
          <a:avLst/>
        </a:prstGeom>
        <a:noFill/>
      </xdr:spPr>
    </xdr:pic>
  </etc:cellImage>
  <etc:cellImage>
    <xdr:pic>
      <xdr:nvPicPr>
        <xdr:cNvPr id="624" name="ID_E3382B49E0C347B78747D3268C59554B" descr="139"/>
        <xdr:cNvPicPr/>
      </xdr:nvPicPr>
      <xdr:blipFill>
        <a:blip r:embed="rId154"/>
        <a:srcRect/>
        <a:stretch>
          <a:fillRect/>
        </a:stretch>
      </xdr:blipFill>
      <xdr:spPr>
        <a:xfrm>
          <a:off x="1765300" y="236612430"/>
          <a:ext cx="549275" cy="360045"/>
        </a:xfrm>
        <a:prstGeom prst="rect">
          <a:avLst/>
        </a:prstGeom>
        <a:noFill/>
      </xdr:spPr>
    </xdr:pic>
  </etc:cellImage>
  <etc:cellImage>
    <xdr:pic>
      <xdr:nvPicPr>
        <xdr:cNvPr id="63" name="ID_CBFC3EBA615E4E89A17D0D07DFA1CCBC" descr="core_image_url__exec_download_3134126624"/>
        <xdr:cNvPicPr/>
      </xdr:nvPicPr>
      <xdr:blipFill>
        <a:blip r:embed="rId155"/>
        <a:stretch>
          <a:fillRect/>
        </a:stretch>
      </xdr:blipFill>
      <xdr:spPr>
        <a:xfrm>
          <a:off x="0" y="0"/>
          <a:ext cx="8764270" cy="10058400"/>
        </a:xfrm>
        <a:prstGeom prst="rect">
          <a:avLst/>
        </a:prstGeom>
      </xdr:spPr>
    </xdr:pic>
  </etc:cellImage>
  <etc:cellImage>
    <xdr:pic>
      <xdr:nvPicPr>
        <xdr:cNvPr id="653" name="ID_59A5AC0E8F0D4F18A98ABD058A5FDDD5" descr="core_image_url__exec_download_3683973000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2026285" y="248427240"/>
          <a:ext cx="548005" cy="358775"/>
        </a:xfrm>
        <a:prstGeom prst="rect">
          <a:avLst/>
        </a:prstGeom>
      </xdr:spPr>
    </xdr:pic>
  </etc:cellImage>
  <etc:cellImage>
    <xdr:pic>
      <xdr:nvPicPr>
        <xdr:cNvPr id="227" name="ID_9D1BD5559FA44BF1A4B4F1990986AB11" descr="436"/>
        <xdr:cNvPicPr/>
      </xdr:nvPicPr>
      <xdr:blipFill>
        <a:blip r:embed="rId157"/>
        <a:srcRect/>
        <a:stretch>
          <a:fillRect/>
        </a:stretch>
      </xdr:blipFill>
      <xdr:spPr>
        <a:xfrm>
          <a:off x="1907540" y="88533605"/>
          <a:ext cx="393065" cy="328295"/>
        </a:xfrm>
        <a:prstGeom prst="rect">
          <a:avLst/>
        </a:prstGeom>
        <a:noFill/>
      </xdr:spPr>
    </xdr:pic>
  </etc:cellImage>
  <etc:cellImage>
    <xdr:pic>
      <xdr:nvPicPr>
        <xdr:cNvPr id="226" name="ID_17452486939B474A9E386A8694871C17" descr="435"/>
        <xdr:cNvPicPr/>
      </xdr:nvPicPr>
      <xdr:blipFill>
        <a:blip r:embed="rId157"/>
        <a:srcRect/>
        <a:stretch>
          <a:fillRect/>
        </a:stretch>
      </xdr:blipFill>
      <xdr:spPr>
        <a:xfrm>
          <a:off x="1761490" y="88013540"/>
          <a:ext cx="450215" cy="375920"/>
        </a:xfrm>
        <a:prstGeom prst="rect">
          <a:avLst/>
        </a:prstGeom>
        <a:noFill/>
      </xdr:spPr>
    </xdr:pic>
  </etc:cellImage>
  <etc:cellImage>
    <xdr:pic>
      <xdr:nvPicPr>
        <xdr:cNvPr id="236" name="ID_69223F92267C48899949AB34059F8C15" descr="425"/>
        <xdr:cNvPicPr/>
      </xdr:nvPicPr>
      <xdr:blipFill>
        <a:blip r:embed="rId158"/>
        <a:srcRect/>
        <a:stretch>
          <a:fillRect/>
        </a:stretch>
      </xdr:blipFill>
      <xdr:spPr>
        <a:xfrm>
          <a:off x="1746250" y="87661750"/>
          <a:ext cx="326390" cy="327660"/>
        </a:xfrm>
        <a:prstGeom prst="rect">
          <a:avLst/>
        </a:prstGeom>
        <a:noFill/>
      </xdr:spPr>
    </xdr:pic>
  </etc:cellImage>
  <etc:cellImage>
    <xdr:pic>
      <xdr:nvPicPr>
        <xdr:cNvPr id="665" name="ID_C7D4C0841DFE4C9BBC40D5B0E5D7271D" descr="core_image_url__exec_download_2201427377"/>
        <xdr:cNvPicPr/>
      </xdr:nvPicPr>
      <xdr:blipFill>
        <a:blip r:embed="rId159"/>
        <a:stretch>
          <a:fillRect/>
        </a:stretch>
      </xdr:blipFill>
      <xdr:spPr>
        <a:xfrm>
          <a:off x="0" y="0"/>
          <a:ext cx="1819275" cy="533400"/>
        </a:xfrm>
        <a:prstGeom prst="rect">
          <a:avLst/>
        </a:prstGeom>
      </xdr:spPr>
    </xdr:pic>
  </etc:cellImage>
  <etc:cellImage>
    <xdr:pic>
      <xdr:nvPicPr>
        <xdr:cNvPr id="544" name="ID_F1EB728CD8E34D638CA0B65D16ACEE8D" descr="241"/>
        <xdr:cNvPicPr/>
      </xdr:nvPicPr>
      <xdr:blipFill>
        <a:blip r:embed="rId160"/>
        <a:srcRect/>
        <a:stretch>
          <a:fillRect/>
        </a:stretch>
      </xdr:blipFill>
      <xdr:spPr>
        <a:xfrm>
          <a:off x="1782445" y="196984620"/>
          <a:ext cx="473075" cy="353695"/>
        </a:xfrm>
        <a:prstGeom prst="rect">
          <a:avLst/>
        </a:prstGeom>
        <a:noFill/>
      </xdr:spPr>
    </xdr:pic>
  </etc:cellImage>
  <etc:cellImage>
    <xdr:pic>
      <xdr:nvPicPr>
        <xdr:cNvPr id="224" name="ID_CF7DE16248954C8587281A121A335267" descr="389"/>
        <xdr:cNvPicPr/>
      </xdr:nvPicPr>
      <xdr:blipFill>
        <a:blip r:embed="rId161"/>
        <a:srcRect/>
        <a:stretch>
          <a:fillRect/>
        </a:stretch>
      </xdr:blipFill>
      <xdr:spPr>
        <a:xfrm>
          <a:off x="1866265" y="86942930"/>
          <a:ext cx="194310" cy="392430"/>
        </a:xfrm>
        <a:prstGeom prst="rect">
          <a:avLst/>
        </a:prstGeom>
        <a:noFill/>
      </xdr:spPr>
    </xdr:pic>
  </etc:cellImage>
  <etc:cellImage>
    <xdr:pic>
      <xdr:nvPicPr>
        <xdr:cNvPr id="222" name="ID_E43C6C1CA43642E0861B68C498DE15F8" descr="268"/>
        <xdr:cNvPicPr/>
      </xdr:nvPicPr>
      <xdr:blipFill>
        <a:blip r:embed="rId162"/>
        <a:srcRect/>
        <a:stretch>
          <a:fillRect/>
        </a:stretch>
      </xdr:blipFill>
      <xdr:spPr>
        <a:xfrm>
          <a:off x="1753870" y="86106000"/>
          <a:ext cx="714375" cy="382270"/>
        </a:xfrm>
        <a:prstGeom prst="rect">
          <a:avLst/>
        </a:prstGeom>
        <a:noFill/>
      </xdr:spPr>
    </xdr:pic>
  </etc:cellImage>
  <etc:cellImage>
    <xdr:pic>
      <xdr:nvPicPr>
        <xdr:cNvPr id="72" name="ID_F789DF3C06F94C418A1117C9CBFCCCB6" descr="core_image_url__exec_download_1417850696"/>
        <xdr:cNvPicPr/>
      </xdr:nvPicPr>
      <xdr:blipFill>
        <a:blip r:embed="rId163"/>
        <a:stretch>
          <a:fillRect/>
        </a:stretch>
      </xdr:blipFill>
      <xdr:spPr>
        <a:xfrm>
          <a:off x="0" y="0"/>
          <a:ext cx="1809750" cy="1485900"/>
        </a:xfrm>
        <a:prstGeom prst="rect">
          <a:avLst/>
        </a:prstGeom>
      </xdr:spPr>
    </xdr:pic>
  </etc:cellImage>
  <etc:cellImage>
    <xdr:pic>
      <xdr:nvPicPr>
        <xdr:cNvPr id="540" name="ID_2C191C6EC91642159C4374F0C8BE6D0E" descr="9"/>
        <xdr:cNvPicPr/>
      </xdr:nvPicPr>
      <xdr:blipFill>
        <a:blip r:embed="rId164"/>
        <a:srcRect/>
        <a:stretch>
          <a:fillRect/>
        </a:stretch>
      </xdr:blipFill>
      <xdr:spPr>
        <a:xfrm>
          <a:off x="1774190" y="192432305"/>
          <a:ext cx="683260" cy="325755"/>
        </a:xfrm>
        <a:prstGeom prst="rect">
          <a:avLst/>
        </a:prstGeom>
        <a:noFill/>
      </xdr:spPr>
    </xdr:pic>
  </etc:cellImage>
  <etc:cellImage>
    <xdr:pic>
      <xdr:nvPicPr>
        <xdr:cNvPr id="539" name="ID_130D4F27CD1E42B68E362DECB974221C" descr="7"/>
        <xdr:cNvPicPr/>
      </xdr:nvPicPr>
      <xdr:blipFill>
        <a:blip r:embed="rId131"/>
        <a:srcRect/>
        <a:stretch>
          <a:fillRect/>
        </a:stretch>
      </xdr:blipFill>
      <xdr:spPr>
        <a:xfrm>
          <a:off x="1764665" y="192032890"/>
          <a:ext cx="706120" cy="353060"/>
        </a:xfrm>
        <a:prstGeom prst="rect">
          <a:avLst/>
        </a:prstGeom>
        <a:noFill/>
      </xdr:spPr>
    </xdr:pic>
  </etc:cellImage>
  <etc:cellImage>
    <xdr:pic>
      <xdr:nvPicPr>
        <xdr:cNvPr id="537" name="ID_337F73AC5F0C4FE9AE173D8EB71631F0" descr="349"/>
        <xdr:cNvPicPr/>
      </xdr:nvPicPr>
      <xdr:blipFill>
        <a:blip r:embed="rId165"/>
        <a:srcRect/>
        <a:stretch>
          <a:fillRect/>
        </a:stretch>
      </xdr:blipFill>
      <xdr:spPr>
        <a:xfrm>
          <a:off x="1746250" y="191262000"/>
          <a:ext cx="450850" cy="351155"/>
        </a:xfrm>
        <a:prstGeom prst="rect">
          <a:avLst/>
        </a:prstGeom>
        <a:noFill/>
      </xdr:spPr>
    </xdr:pic>
  </etc:cellImage>
  <etc:cellImage>
    <xdr:pic>
      <xdr:nvPicPr>
        <xdr:cNvPr id="536" name="ID_9402DAEACBDA44E0956458339A5E6520" descr="348"/>
        <xdr:cNvPicPr/>
      </xdr:nvPicPr>
      <xdr:blipFill>
        <a:blip r:embed="rId166"/>
        <a:srcRect/>
        <a:stretch>
          <a:fillRect/>
        </a:stretch>
      </xdr:blipFill>
      <xdr:spPr>
        <a:xfrm>
          <a:off x="1746250" y="190881000"/>
          <a:ext cx="479425" cy="358775"/>
        </a:xfrm>
        <a:prstGeom prst="rect">
          <a:avLst/>
        </a:prstGeom>
        <a:noFill/>
      </xdr:spPr>
    </xdr:pic>
  </etc:cellImage>
  <etc:cellImage>
    <xdr:pic>
      <xdr:nvPicPr>
        <xdr:cNvPr id="535" name="ID_B61CCE1BC5774176965863F4EBEA2D63" descr="187"/>
        <xdr:cNvPicPr/>
      </xdr:nvPicPr>
      <xdr:blipFill>
        <a:blip r:embed="rId167"/>
        <a:srcRect/>
        <a:stretch>
          <a:fillRect/>
        </a:stretch>
      </xdr:blipFill>
      <xdr:spPr>
        <a:xfrm>
          <a:off x="1771650" y="190528575"/>
          <a:ext cx="760730" cy="313055"/>
        </a:xfrm>
        <a:prstGeom prst="rect">
          <a:avLst/>
        </a:prstGeom>
        <a:noFill/>
      </xdr:spPr>
    </xdr:pic>
  </etc:cellImage>
  <etc:cellImage>
    <xdr:pic>
      <xdr:nvPicPr>
        <xdr:cNvPr id="531" name="ID_F0B43978E4A4446BB34674F313D9CF2E" descr="385"/>
        <xdr:cNvPicPr/>
      </xdr:nvPicPr>
      <xdr:blipFill>
        <a:blip r:embed="rId168"/>
        <a:srcRect/>
        <a:stretch>
          <a:fillRect/>
        </a:stretch>
      </xdr:blipFill>
      <xdr:spPr>
        <a:xfrm>
          <a:off x="1746250" y="189357000"/>
          <a:ext cx="573405" cy="356235"/>
        </a:xfrm>
        <a:prstGeom prst="rect">
          <a:avLst/>
        </a:prstGeom>
        <a:noFill/>
      </xdr:spPr>
    </xdr:pic>
  </etc:cellImage>
  <etc:cellImage>
    <xdr:pic>
      <xdr:nvPicPr>
        <xdr:cNvPr id="376" name="ID_C15C2F81D3F04B0BAD81F055BF31B5B4" descr="36"/>
        <xdr:cNvPicPr/>
      </xdr:nvPicPr>
      <xdr:blipFill>
        <a:blip r:embed="rId169"/>
        <a:srcRect/>
        <a:stretch>
          <a:fillRect/>
        </a:stretch>
      </xdr:blipFill>
      <xdr:spPr>
        <a:xfrm>
          <a:off x="1802765" y="144846040"/>
          <a:ext cx="546735" cy="278765"/>
        </a:xfrm>
        <a:prstGeom prst="rect">
          <a:avLst/>
        </a:prstGeom>
        <a:noFill/>
      </xdr:spPr>
    </xdr:pic>
  </etc:cellImage>
  <etc:cellImage>
    <xdr:pic>
      <xdr:nvPicPr>
        <xdr:cNvPr id="527" name="ID_E6C563DFCD2142B4A5C4B34D0516A8F8" descr="381"/>
        <xdr:cNvPicPr/>
      </xdr:nvPicPr>
      <xdr:blipFill>
        <a:blip r:embed="rId170"/>
        <a:srcRect/>
        <a:stretch>
          <a:fillRect/>
        </a:stretch>
      </xdr:blipFill>
      <xdr:spPr>
        <a:xfrm>
          <a:off x="1746250" y="187833000"/>
          <a:ext cx="554355" cy="332105"/>
        </a:xfrm>
        <a:prstGeom prst="rect">
          <a:avLst/>
        </a:prstGeom>
        <a:noFill/>
      </xdr:spPr>
    </xdr:pic>
  </etc:cellImage>
  <etc:cellImage>
    <xdr:pic>
      <xdr:nvPicPr>
        <xdr:cNvPr id="550" name="ID_D308384B432C446E95C25F0873D1FA82" descr="272"/>
        <xdr:cNvPicPr/>
      </xdr:nvPicPr>
      <xdr:blipFill>
        <a:blip r:embed="rId171"/>
        <a:srcRect/>
        <a:stretch>
          <a:fillRect/>
        </a:stretch>
      </xdr:blipFill>
      <xdr:spPr>
        <a:xfrm>
          <a:off x="1797685" y="199284590"/>
          <a:ext cx="558800" cy="316865"/>
        </a:xfrm>
        <a:prstGeom prst="rect">
          <a:avLst/>
        </a:prstGeom>
        <a:noFill/>
      </xdr:spPr>
    </xdr:pic>
  </etc:cellImage>
  <etc:cellImage>
    <xdr:pic>
      <xdr:nvPicPr>
        <xdr:cNvPr id="542" name="ID_F850A5DDE2DF4EB887663D8369F3C2E3" descr="171"/>
        <xdr:cNvPicPr/>
      </xdr:nvPicPr>
      <xdr:blipFill>
        <a:blip r:embed="rId172"/>
        <a:srcRect/>
        <a:stretch>
          <a:fillRect/>
        </a:stretch>
      </xdr:blipFill>
      <xdr:spPr>
        <a:xfrm>
          <a:off x="1827530" y="193227325"/>
          <a:ext cx="998855" cy="160655"/>
        </a:xfrm>
        <a:prstGeom prst="rect">
          <a:avLst/>
        </a:prstGeom>
        <a:noFill/>
      </xdr:spPr>
    </xdr:pic>
  </etc:cellImage>
  <etc:cellImage>
    <xdr:pic>
      <xdr:nvPicPr>
        <xdr:cNvPr id="522" name="ID_99E76338E3714337AEF9D42FC23D2C36" descr="376"/>
        <xdr:cNvPicPr/>
      </xdr:nvPicPr>
      <xdr:blipFill>
        <a:blip r:embed="rId173"/>
        <a:srcRect/>
        <a:stretch>
          <a:fillRect/>
        </a:stretch>
      </xdr:blipFill>
      <xdr:spPr>
        <a:xfrm>
          <a:off x="1746250" y="185928000"/>
          <a:ext cx="470535" cy="367030"/>
        </a:xfrm>
        <a:prstGeom prst="rect">
          <a:avLst/>
        </a:prstGeom>
        <a:noFill/>
      </xdr:spPr>
    </xdr:pic>
  </etc:cellImage>
  <etc:cellImage>
    <xdr:pic>
      <xdr:nvPicPr>
        <xdr:cNvPr id="526" name="ID_804EE9C48BBF473094340505EB38196A" descr="380"/>
        <xdr:cNvPicPr/>
      </xdr:nvPicPr>
      <xdr:blipFill>
        <a:blip r:embed="rId174"/>
        <a:srcRect/>
        <a:stretch>
          <a:fillRect/>
        </a:stretch>
      </xdr:blipFill>
      <xdr:spPr>
        <a:xfrm>
          <a:off x="1746250" y="187452000"/>
          <a:ext cx="389890" cy="353060"/>
        </a:xfrm>
        <a:prstGeom prst="rect">
          <a:avLst/>
        </a:prstGeom>
        <a:noFill/>
      </xdr:spPr>
    </xdr:pic>
  </etc:cellImage>
  <etc:cellImage>
    <xdr:pic>
      <xdr:nvPicPr>
        <xdr:cNvPr id="521" name="ID_54CEAB58E3524ED18D868E4F86C2563E" descr="375"/>
        <xdr:cNvPicPr/>
      </xdr:nvPicPr>
      <xdr:blipFill>
        <a:blip r:embed="rId175"/>
        <a:srcRect/>
        <a:stretch>
          <a:fillRect/>
        </a:stretch>
      </xdr:blipFill>
      <xdr:spPr>
        <a:xfrm>
          <a:off x="1746250" y="185547000"/>
          <a:ext cx="441325" cy="344170"/>
        </a:xfrm>
        <a:prstGeom prst="rect">
          <a:avLst/>
        </a:prstGeom>
        <a:noFill/>
      </xdr:spPr>
    </xdr:pic>
  </etc:cellImage>
  <etc:cellImage>
    <xdr:pic>
      <xdr:nvPicPr>
        <xdr:cNvPr id="380" name="ID_B77A6A450A4647F0938600888F018CB7" descr="42"/>
        <xdr:cNvPicPr/>
      </xdr:nvPicPr>
      <xdr:blipFill>
        <a:blip r:embed="rId176"/>
        <a:srcRect/>
        <a:stretch>
          <a:fillRect/>
        </a:stretch>
      </xdr:blipFill>
      <xdr:spPr>
        <a:xfrm>
          <a:off x="1783715" y="147103465"/>
          <a:ext cx="563880" cy="255905"/>
        </a:xfrm>
        <a:prstGeom prst="rect">
          <a:avLst/>
        </a:prstGeom>
        <a:noFill/>
      </xdr:spPr>
    </xdr:pic>
  </etc:cellImage>
  <etc:cellImage>
    <xdr:pic>
      <xdr:nvPicPr>
        <xdr:cNvPr id="520" name="ID_656C6BB1C038452391849E210F52556A" descr="374"/>
        <xdr:cNvPicPr/>
      </xdr:nvPicPr>
      <xdr:blipFill>
        <a:blip r:embed="rId177"/>
        <a:srcRect/>
        <a:stretch>
          <a:fillRect/>
        </a:stretch>
      </xdr:blipFill>
      <xdr:spPr>
        <a:xfrm>
          <a:off x="1746250" y="185166000"/>
          <a:ext cx="525780" cy="314960"/>
        </a:xfrm>
        <a:prstGeom prst="rect">
          <a:avLst/>
        </a:prstGeom>
        <a:noFill/>
      </xdr:spPr>
    </xdr:pic>
  </etc:cellImage>
  <etc:cellImage>
    <xdr:pic>
      <xdr:nvPicPr>
        <xdr:cNvPr id="518" name="ID_53EB345359844ABD8C31AE5DB5B919AE" descr="372"/>
        <xdr:cNvPicPr/>
      </xdr:nvPicPr>
      <xdr:blipFill>
        <a:blip r:embed="rId178"/>
        <a:srcRect/>
        <a:stretch>
          <a:fillRect/>
        </a:stretch>
      </xdr:blipFill>
      <xdr:spPr>
        <a:xfrm>
          <a:off x="1746250" y="184404000"/>
          <a:ext cx="1034415" cy="347345"/>
        </a:xfrm>
        <a:prstGeom prst="rect">
          <a:avLst/>
        </a:prstGeom>
        <a:noFill/>
      </xdr:spPr>
    </xdr:pic>
  </etc:cellImage>
  <etc:cellImage>
    <xdr:pic>
      <xdr:nvPicPr>
        <xdr:cNvPr id="517" name="ID_CC25CDA661234893BB853CD5C62DF04E" descr="111"/>
        <xdr:cNvPicPr/>
      </xdr:nvPicPr>
      <xdr:blipFill>
        <a:blip r:embed="rId179"/>
        <a:srcRect/>
        <a:stretch>
          <a:fillRect/>
        </a:stretch>
      </xdr:blipFill>
      <xdr:spPr>
        <a:xfrm>
          <a:off x="1798955" y="183657240"/>
          <a:ext cx="811530" cy="349885"/>
        </a:xfrm>
        <a:prstGeom prst="rect">
          <a:avLst/>
        </a:prstGeom>
        <a:noFill/>
      </xdr:spPr>
    </xdr:pic>
  </etc:cellImage>
  <etc:cellImage>
    <xdr:pic>
      <xdr:nvPicPr>
        <xdr:cNvPr id="119" name="ID_5DCBE90781354546AC0A5D14A9A5C354" descr="core_image_url__exec_download_1671013397"/>
        <xdr:cNvPicPr/>
      </xdr:nvPicPr>
      <xdr:blipFill>
        <a:blip r:embed="rId180"/>
        <a:stretch>
          <a:fillRect/>
        </a:stretch>
      </xdr:blipFill>
      <xdr:spPr>
        <a:xfrm>
          <a:off x="0" y="0"/>
          <a:ext cx="388620" cy="304800"/>
        </a:xfrm>
        <a:prstGeom prst="rect">
          <a:avLst/>
        </a:prstGeom>
      </xdr:spPr>
    </xdr:pic>
  </etc:cellImage>
  <etc:cellImage>
    <xdr:pic>
      <xdr:nvPicPr>
        <xdr:cNvPr id="515" name="ID_EADDC4F7F1D74F5F920CE5252B711C5C" descr="109"/>
        <xdr:cNvPicPr/>
      </xdr:nvPicPr>
      <xdr:blipFill>
        <a:blip r:embed="rId181"/>
        <a:srcRect/>
        <a:stretch>
          <a:fillRect/>
        </a:stretch>
      </xdr:blipFill>
      <xdr:spPr>
        <a:xfrm>
          <a:off x="1782445" y="182903495"/>
          <a:ext cx="640715" cy="319405"/>
        </a:xfrm>
        <a:prstGeom prst="rect">
          <a:avLst/>
        </a:prstGeom>
        <a:noFill/>
      </xdr:spPr>
    </xdr:pic>
  </etc:cellImage>
  <etc:cellImage>
    <xdr:pic>
      <xdr:nvPicPr>
        <xdr:cNvPr id="510" name="ID_48074A1BA372444A9163A579C7D85792" descr="154"/>
        <xdr:cNvPicPr/>
      </xdr:nvPicPr>
      <xdr:blipFill>
        <a:blip r:embed="rId182"/>
        <a:srcRect/>
        <a:stretch>
          <a:fillRect/>
        </a:stretch>
      </xdr:blipFill>
      <xdr:spPr>
        <a:xfrm>
          <a:off x="1782445" y="179092225"/>
          <a:ext cx="485775" cy="343535"/>
        </a:xfrm>
        <a:prstGeom prst="rect">
          <a:avLst/>
        </a:prstGeom>
        <a:noFill/>
      </xdr:spPr>
    </xdr:pic>
  </etc:cellImage>
  <etc:cellImage>
    <xdr:pic>
      <xdr:nvPicPr>
        <xdr:cNvPr id="508" name="ID_1BD2E008A7F24FB79BD1FC4170327770" descr="152"/>
        <xdr:cNvPicPr/>
      </xdr:nvPicPr>
      <xdr:blipFill>
        <a:blip r:embed="rId183"/>
        <a:srcRect/>
        <a:stretch>
          <a:fillRect/>
        </a:stretch>
      </xdr:blipFill>
      <xdr:spPr>
        <a:xfrm>
          <a:off x="1772920" y="178329590"/>
          <a:ext cx="497205" cy="335915"/>
        </a:xfrm>
        <a:prstGeom prst="rect">
          <a:avLst/>
        </a:prstGeom>
        <a:noFill/>
      </xdr:spPr>
    </xdr:pic>
  </etc:cellImage>
  <etc:cellImage>
    <xdr:pic>
      <xdr:nvPicPr>
        <xdr:cNvPr id="38" name="ID_7368D67FAC9841568571895A48D76974" descr="core_image_url__exec_download_2294623308"/>
        <xdr:cNvPicPr/>
      </xdr:nvPicPr>
      <xdr:blipFill>
        <a:blip r:embed="rId184"/>
        <a:stretch>
          <a:fillRect/>
        </a:stretch>
      </xdr:blipFill>
      <xdr:spPr>
        <a:xfrm>
          <a:off x="0" y="0"/>
          <a:ext cx="1143000" cy="989965"/>
        </a:xfrm>
        <a:prstGeom prst="rect">
          <a:avLst/>
        </a:prstGeom>
      </xdr:spPr>
    </xdr:pic>
  </etc:cellImage>
  <etc:cellImage>
    <xdr:pic>
      <xdr:nvPicPr>
        <xdr:cNvPr id="506" name="ID_A189CB5B1D2A4C9D8F53E90563B51672" descr="434"/>
        <xdr:cNvPicPr/>
      </xdr:nvPicPr>
      <xdr:blipFill>
        <a:blip r:embed="rId185"/>
        <a:srcRect/>
        <a:stretch>
          <a:fillRect/>
        </a:stretch>
      </xdr:blipFill>
      <xdr:spPr>
        <a:xfrm>
          <a:off x="1908175" y="177585370"/>
          <a:ext cx="532765" cy="374015"/>
        </a:xfrm>
        <a:prstGeom prst="rect">
          <a:avLst/>
        </a:prstGeom>
        <a:noFill/>
      </xdr:spPr>
    </xdr:pic>
  </etc:cellImage>
  <etc:cellImage>
    <xdr:pic>
      <xdr:nvPicPr>
        <xdr:cNvPr id="505" name="ID_C450F98022D54943A6A0ED64E6810298" descr="388"/>
        <xdr:cNvPicPr/>
      </xdr:nvPicPr>
      <xdr:blipFill>
        <a:blip r:embed="rId186"/>
        <a:srcRect/>
        <a:stretch>
          <a:fillRect/>
        </a:stretch>
      </xdr:blipFill>
      <xdr:spPr>
        <a:xfrm>
          <a:off x="1898650" y="177213260"/>
          <a:ext cx="598805" cy="316865"/>
        </a:xfrm>
        <a:prstGeom prst="rect">
          <a:avLst/>
        </a:prstGeom>
        <a:noFill/>
      </xdr:spPr>
    </xdr:pic>
  </etc:cellImage>
  <etc:cellImage>
    <xdr:pic>
      <xdr:nvPicPr>
        <xdr:cNvPr id="490" name="ID_E2EE666AFF8E4FA780FD3B9FA1B13041" descr="444"/>
        <xdr:cNvPicPr/>
      </xdr:nvPicPr>
      <xdr:blipFill>
        <a:blip r:embed="rId187"/>
        <a:srcRect/>
        <a:stretch>
          <a:fillRect/>
        </a:stretch>
      </xdr:blipFill>
      <xdr:spPr>
        <a:xfrm>
          <a:off x="1852930" y="170063160"/>
          <a:ext cx="335280" cy="347345"/>
        </a:xfrm>
        <a:prstGeom prst="rect">
          <a:avLst/>
        </a:prstGeom>
        <a:noFill/>
      </xdr:spPr>
    </xdr:pic>
  </etc:cellImage>
  <etc:cellImage>
    <xdr:pic>
      <xdr:nvPicPr>
        <xdr:cNvPr id="106" name="ID_1C8F96F1DE814E548F768FDF535080DD" descr="core_image_url__exec_download_48927406"/>
        <xdr:cNvPicPr/>
      </xdr:nvPicPr>
      <xdr:blipFill>
        <a:blip r:embed="rId188"/>
        <a:stretch>
          <a:fillRect/>
        </a:stretch>
      </xdr:blipFill>
      <xdr:spPr>
        <a:xfrm>
          <a:off x="0" y="0"/>
          <a:ext cx="358140" cy="319405"/>
        </a:xfrm>
        <a:prstGeom prst="rect">
          <a:avLst/>
        </a:prstGeom>
      </xdr:spPr>
    </xdr:pic>
  </etc:cellImage>
  <etc:cellImage>
    <xdr:pic>
      <xdr:nvPicPr>
        <xdr:cNvPr id="87" name="ID_4DDE8DD47DD9491C9BFCB301B07C50B9" descr="core_image_url__exec_download_3532826072"/>
        <xdr:cNvPicPr/>
      </xdr:nvPicPr>
      <xdr:blipFill>
        <a:blip r:embed="rId189"/>
        <a:stretch>
          <a:fillRect/>
        </a:stretch>
      </xdr:blipFill>
      <xdr:spPr>
        <a:xfrm>
          <a:off x="0" y="0"/>
          <a:ext cx="571500" cy="289560"/>
        </a:xfrm>
        <a:prstGeom prst="rect">
          <a:avLst/>
        </a:prstGeom>
      </xdr:spPr>
    </xdr:pic>
  </etc:cellImage>
  <etc:cellImage>
    <xdr:pic>
      <xdr:nvPicPr>
        <xdr:cNvPr id="315" name="ID_2C0AA96967D14907A2B8625882BC7C94" descr="245"/>
        <xdr:cNvPicPr/>
      </xdr:nvPicPr>
      <xdr:blipFill>
        <a:blip r:embed="rId190"/>
        <a:srcRect/>
        <a:stretch>
          <a:fillRect/>
        </a:stretch>
      </xdr:blipFill>
      <xdr:spPr>
        <a:xfrm>
          <a:off x="1761490" y="127347980"/>
          <a:ext cx="1160780" cy="198120"/>
        </a:xfrm>
        <a:prstGeom prst="rect">
          <a:avLst/>
        </a:prstGeom>
        <a:noFill/>
      </xdr:spPr>
    </xdr:pic>
  </etc:cellImage>
  <etc:cellImage>
    <xdr:pic>
      <xdr:nvPicPr>
        <xdr:cNvPr id="503" name="ID_9DEF6B4135A244FEBA4C2775A31CFE0F" descr="433"/>
        <xdr:cNvPicPr/>
      </xdr:nvPicPr>
      <xdr:blipFill>
        <a:blip r:embed="rId191"/>
        <a:srcRect/>
        <a:stretch>
          <a:fillRect/>
        </a:stretch>
      </xdr:blipFill>
      <xdr:spPr>
        <a:xfrm>
          <a:off x="1776095" y="176047400"/>
          <a:ext cx="655320" cy="361315"/>
        </a:xfrm>
        <a:prstGeom prst="rect">
          <a:avLst/>
        </a:prstGeom>
        <a:noFill/>
      </xdr:spPr>
    </xdr:pic>
  </etc:cellImage>
  <etc:cellImage>
    <xdr:pic>
      <xdr:nvPicPr>
        <xdr:cNvPr id="60" name="ID_D7CD74B4808343C8AF7EE1E6B7CC5313" descr="core_image_url__exec_download_3174010914"/>
        <xdr:cNvPicPr/>
      </xdr:nvPicPr>
      <xdr:blipFill>
        <a:blip r:embed="rId192"/>
        <a:stretch>
          <a:fillRect/>
        </a:stretch>
      </xdr:blipFill>
      <xdr:spPr>
        <a:xfrm>
          <a:off x="0" y="0"/>
          <a:ext cx="1238250" cy="323850"/>
        </a:xfrm>
        <a:prstGeom prst="rect">
          <a:avLst/>
        </a:prstGeom>
      </xdr:spPr>
    </xdr:pic>
  </etc:cellImage>
  <etc:cellImage>
    <xdr:pic>
      <xdr:nvPicPr>
        <xdr:cNvPr id="54" name="ID_0A1C5535F2DF40FC8D2BF4CF1FB91355" descr="553"/>
        <xdr:cNvPicPr/>
      </xdr:nvPicPr>
      <xdr:blipFill>
        <a:blip r:embed="rId68"/>
        <a:srcRect/>
        <a:stretch>
          <a:fillRect/>
        </a:stretch>
      </xdr:blipFill>
      <xdr:spPr>
        <a:xfrm>
          <a:off x="1817370" y="12611100"/>
          <a:ext cx="859790" cy="394335"/>
        </a:xfrm>
        <a:prstGeom prst="rect">
          <a:avLst/>
        </a:prstGeom>
        <a:noFill/>
      </xdr:spPr>
    </xdr:pic>
  </etc:cellImage>
  <etc:cellImage>
    <xdr:pic>
      <xdr:nvPicPr>
        <xdr:cNvPr id="16" name="ID_284FDB9BDDC84AF6A68CD6C0BBDF20EF" descr="core_image_url__exec_download_2681606680"/>
        <xdr:cNvPicPr/>
      </xdr:nvPicPr>
      <xdr:blipFill>
        <a:blip r:embed="rId193"/>
        <a:stretch>
          <a:fillRect/>
        </a:stretch>
      </xdr:blipFill>
      <xdr:spPr>
        <a:xfrm>
          <a:off x="0" y="0"/>
          <a:ext cx="647700" cy="438150"/>
        </a:xfrm>
        <a:prstGeom prst="rect">
          <a:avLst/>
        </a:prstGeom>
      </xdr:spPr>
    </xdr:pic>
  </etc:cellImage>
  <etc:cellImage>
    <xdr:pic>
      <xdr:nvPicPr>
        <xdr:cNvPr id="391" name="ID_8EBEA4AA52C140C69A633C136B76B1CF" descr="80"/>
        <xdr:cNvPicPr/>
      </xdr:nvPicPr>
      <xdr:blipFill>
        <a:blip r:embed="rId194"/>
        <a:srcRect/>
        <a:stretch>
          <a:fillRect/>
        </a:stretch>
      </xdr:blipFill>
      <xdr:spPr>
        <a:xfrm>
          <a:off x="1793240" y="149408515"/>
          <a:ext cx="506095" cy="253365"/>
        </a:xfrm>
        <a:prstGeom prst="rect">
          <a:avLst/>
        </a:prstGeom>
        <a:noFill/>
      </xdr:spPr>
    </xdr:pic>
  </etc:cellImage>
  <etc:cellImage>
    <xdr:pic>
      <xdr:nvPicPr>
        <xdr:cNvPr id="390" name="ID_C4349AA59A7142DAB694F9E84637B12E" descr="46"/>
        <xdr:cNvPicPr/>
      </xdr:nvPicPr>
      <xdr:blipFill>
        <a:blip r:embed="rId195"/>
        <a:srcRect/>
        <a:stretch>
          <a:fillRect/>
        </a:stretch>
      </xdr:blipFill>
      <xdr:spPr>
        <a:xfrm>
          <a:off x="1779270" y="148979890"/>
          <a:ext cx="598805" cy="358775"/>
        </a:xfrm>
        <a:prstGeom prst="rect">
          <a:avLst/>
        </a:prstGeom>
        <a:noFill/>
      </xdr:spPr>
    </xdr:pic>
  </etc:cellImage>
  <etc:cellImage>
    <xdr:pic>
      <xdr:nvPicPr>
        <xdr:cNvPr id="10" name="ID_5CBA941F17A24B5BA6106624E4E0C5E0" descr="core_image_url__exec_download_1907238555"/>
        <xdr:cNvPicPr/>
      </xdr:nvPicPr>
      <xdr:blipFill>
        <a:blip r:embed="rId196"/>
        <a:stretch>
          <a:fillRect/>
        </a:stretch>
      </xdr:blipFill>
      <xdr:spPr>
        <a:xfrm>
          <a:off x="0" y="0"/>
          <a:ext cx="3743325" cy="904875"/>
        </a:xfrm>
        <a:prstGeom prst="rect">
          <a:avLst/>
        </a:prstGeom>
      </xdr:spPr>
    </xdr:pic>
  </etc:cellImage>
  <etc:cellImage>
    <xdr:pic>
      <xdr:nvPicPr>
        <xdr:cNvPr id="387" name="ID_CB69F445EA3A46BBBEBBE9E217791437" descr="45"/>
        <xdr:cNvPicPr/>
      </xdr:nvPicPr>
      <xdr:blipFill>
        <a:blip r:embed="rId197"/>
        <a:srcRect/>
        <a:stretch>
          <a:fillRect/>
        </a:stretch>
      </xdr:blipFill>
      <xdr:spPr>
        <a:xfrm>
          <a:off x="1749425" y="148275675"/>
          <a:ext cx="833755" cy="273050"/>
        </a:xfrm>
        <a:prstGeom prst="rect">
          <a:avLst/>
        </a:prstGeom>
        <a:noFill/>
      </xdr:spPr>
    </xdr:pic>
  </etc:cellImage>
  <etc:cellImage>
    <xdr:pic>
      <xdr:nvPicPr>
        <xdr:cNvPr id="631" name="ID_C8256EEEBC4C4B0E8DE316B27823D907" descr="480"/>
        <xdr:cNvPicPr/>
      </xdr:nvPicPr>
      <xdr:blipFill>
        <a:blip r:embed="rId198"/>
        <a:srcRect/>
        <a:stretch>
          <a:fillRect/>
        </a:stretch>
      </xdr:blipFill>
      <xdr:spPr>
        <a:xfrm>
          <a:off x="1756410" y="238892080"/>
          <a:ext cx="1319530" cy="299085"/>
        </a:xfrm>
        <a:prstGeom prst="rect">
          <a:avLst/>
        </a:prstGeom>
        <a:noFill/>
      </xdr:spPr>
    </xdr:pic>
  </etc:cellImage>
  <etc:cellImage>
    <xdr:pic>
      <xdr:nvPicPr>
        <xdr:cNvPr id="134" name="ID_6048FF615F58488E8FA3AD46D78446F1" descr="core_image_url__exec_download_357603563"/>
        <xdr:cNvPicPr/>
      </xdr:nvPicPr>
      <xdr:blipFill>
        <a:blip r:embed="rId199"/>
        <a:stretch>
          <a:fillRect/>
        </a:stretch>
      </xdr:blipFill>
      <xdr:spPr>
        <a:xfrm>
          <a:off x="0" y="0"/>
          <a:ext cx="1000125" cy="400050"/>
        </a:xfrm>
        <a:prstGeom prst="rect">
          <a:avLst/>
        </a:prstGeom>
      </xdr:spPr>
    </xdr:pic>
  </etc:cellImage>
  <etc:cellImage>
    <xdr:pic>
      <xdr:nvPicPr>
        <xdr:cNvPr id="316" name="ID_957A2CC88C1C41BFA595492365034387" descr="574"/>
        <xdr:cNvPicPr/>
      </xdr:nvPicPr>
      <xdr:blipFill>
        <a:blip r:embed="rId200"/>
        <a:srcRect/>
        <a:stretch>
          <a:fillRect/>
        </a:stretch>
      </xdr:blipFill>
      <xdr:spPr>
        <a:xfrm>
          <a:off x="1891030" y="79749015"/>
          <a:ext cx="651510" cy="377190"/>
        </a:xfrm>
        <a:prstGeom prst="rect">
          <a:avLst/>
        </a:prstGeom>
        <a:noFill/>
      </xdr:spPr>
    </xdr:pic>
  </etc:cellImage>
  <etc:cellImage>
    <xdr:pic>
      <xdr:nvPicPr>
        <xdr:cNvPr id="431" name="ID_BED02009752D47C686D5C4481500D98D" descr="41"/>
        <xdr:cNvPicPr/>
      </xdr:nvPicPr>
      <xdr:blipFill>
        <a:blip r:embed="rId201"/>
        <a:srcRect/>
        <a:stretch>
          <a:fillRect/>
        </a:stretch>
      </xdr:blipFill>
      <xdr:spPr>
        <a:xfrm>
          <a:off x="1783715" y="146741515"/>
          <a:ext cx="582930" cy="271145"/>
        </a:xfrm>
        <a:prstGeom prst="rect">
          <a:avLst/>
        </a:prstGeom>
        <a:noFill/>
      </xdr:spPr>
    </xdr:pic>
  </etc:cellImage>
  <etc:cellImage>
    <xdr:pic>
      <xdr:nvPicPr>
        <xdr:cNvPr id="560" name="ID_F5502E9F134B4B459B372CC92F53BEFE" descr="28"/>
        <xdr:cNvPicPr/>
      </xdr:nvPicPr>
      <xdr:blipFill>
        <a:blip r:embed="rId202"/>
        <a:srcRect/>
        <a:stretch>
          <a:fillRect/>
        </a:stretch>
      </xdr:blipFill>
      <xdr:spPr>
        <a:xfrm>
          <a:off x="1840865" y="202319890"/>
          <a:ext cx="1047750" cy="386080"/>
        </a:xfrm>
        <a:prstGeom prst="rect">
          <a:avLst/>
        </a:prstGeom>
        <a:noFill/>
      </xdr:spPr>
    </xdr:pic>
  </etc:cellImage>
  <etc:cellImage>
    <xdr:pic>
      <xdr:nvPicPr>
        <xdr:cNvPr id="266" name="ID_41CB2EBEF18244D2877B24FAF3FFED91" descr="136"/>
        <xdr:cNvPicPr/>
      </xdr:nvPicPr>
      <xdr:blipFill>
        <a:blip r:embed="rId203"/>
        <a:srcRect/>
        <a:stretch>
          <a:fillRect/>
        </a:stretch>
      </xdr:blipFill>
      <xdr:spPr>
        <a:xfrm>
          <a:off x="1904365" y="101401245"/>
          <a:ext cx="541655" cy="353060"/>
        </a:xfrm>
        <a:prstGeom prst="rect">
          <a:avLst/>
        </a:prstGeom>
        <a:noFill/>
      </xdr:spPr>
    </xdr:pic>
  </etc:cellImage>
  <etc:cellImage>
    <xdr:pic>
      <xdr:nvPicPr>
        <xdr:cNvPr id="46" name="ID_20A54B1902BB4290A406C1FE14DA9AB2" descr="core_image_url__exec_download_2925760270"/>
        <xdr:cNvPicPr/>
      </xdr:nvPicPr>
      <xdr:blipFill>
        <a:blip r:embed="rId204"/>
        <a:stretch>
          <a:fillRect/>
        </a:stretch>
      </xdr:blipFill>
      <xdr:spPr>
        <a:xfrm>
          <a:off x="0" y="0"/>
          <a:ext cx="1920240" cy="914400"/>
        </a:xfrm>
        <a:prstGeom prst="rect">
          <a:avLst/>
        </a:prstGeom>
      </xdr:spPr>
    </xdr:pic>
  </etc:cellImage>
  <etc:cellImage>
    <xdr:pic>
      <xdr:nvPicPr>
        <xdr:cNvPr id="379" name="ID_215EA14C5DF341DF8885ACF780EA38D1" descr="40"/>
        <xdr:cNvPicPr/>
      </xdr:nvPicPr>
      <xdr:blipFill>
        <a:blip r:embed="rId205"/>
        <a:srcRect/>
        <a:stretch>
          <a:fillRect/>
        </a:stretch>
      </xdr:blipFill>
      <xdr:spPr>
        <a:xfrm>
          <a:off x="1783715" y="146380200"/>
          <a:ext cx="602615" cy="281940"/>
        </a:xfrm>
        <a:prstGeom prst="rect">
          <a:avLst/>
        </a:prstGeom>
        <a:noFill/>
      </xdr:spPr>
    </xdr:pic>
  </etc:cellImage>
  <etc:cellImage>
    <xdr:pic>
      <xdr:nvPicPr>
        <xdr:cNvPr id="366" name="ID_04017A09117F4A64AD99CD350E6ABA21" descr="371"/>
        <xdr:cNvPicPr/>
      </xdr:nvPicPr>
      <xdr:blipFill>
        <a:blip r:embed="rId206"/>
        <a:srcRect/>
        <a:stretch>
          <a:fillRect/>
        </a:stretch>
      </xdr:blipFill>
      <xdr:spPr>
        <a:xfrm>
          <a:off x="1799590" y="142254605"/>
          <a:ext cx="528955" cy="340995"/>
        </a:xfrm>
        <a:prstGeom prst="rect">
          <a:avLst/>
        </a:prstGeom>
        <a:noFill/>
      </xdr:spPr>
    </xdr:pic>
  </etc:cellImage>
  <etc:cellImage>
    <xdr:pic>
      <xdr:nvPicPr>
        <xdr:cNvPr id="375" name="ID_9FEEA24AFAD44B60992FD79207F1CFCF" descr="35"/>
        <xdr:cNvPicPr/>
      </xdr:nvPicPr>
      <xdr:blipFill>
        <a:blip r:embed="rId207"/>
        <a:srcRect/>
        <a:stretch>
          <a:fillRect/>
        </a:stretch>
      </xdr:blipFill>
      <xdr:spPr>
        <a:xfrm>
          <a:off x="1802765" y="144407890"/>
          <a:ext cx="501650" cy="344805"/>
        </a:xfrm>
        <a:prstGeom prst="rect">
          <a:avLst/>
        </a:prstGeom>
        <a:noFill/>
      </xdr:spPr>
    </xdr:pic>
  </etc:cellImage>
  <etc:cellImage>
    <xdr:pic>
      <xdr:nvPicPr>
        <xdr:cNvPr id="372" name="ID_E6FDE244BB3C4FC4943B60B840406808" descr="31"/>
        <xdr:cNvPicPr/>
      </xdr:nvPicPr>
      <xdr:blipFill>
        <a:blip r:embed="rId208"/>
        <a:srcRect/>
        <a:stretch>
          <a:fillRect/>
        </a:stretch>
      </xdr:blipFill>
      <xdr:spPr>
        <a:xfrm>
          <a:off x="1802765" y="142912465"/>
          <a:ext cx="525145" cy="327025"/>
        </a:xfrm>
        <a:prstGeom prst="rect">
          <a:avLst/>
        </a:prstGeom>
        <a:noFill/>
      </xdr:spPr>
    </xdr:pic>
  </etc:cellImage>
  <etc:cellImage>
    <xdr:pic>
      <xdr:nvPicPr>
        <xdr:cNvPr id="495" name="ID_62B5D0933CFB4579B8FD279A765F2269" descr="core_image_url__exec_download_2543410950"/>
        <xdr:cNvPicPr/>
      </xdr:nvPicPr>
      <xdr:blipFill>
        <a:blip r:embed="rId209"/>
        <a:stretch>
          <a:fillRect/>
        </a:stretch>
      </xdr:blipFill>
      <xdr:spPr>
        <a:xfrm>
          <a:off x="0" y="0"/>
          <a:ext cx="495300" cy="438150"/>
        </a:xfrm>
        <a:prstGeom prst="rect">
          <a:avLst/>
        </a:prstGeom>
      </xdr:spPr>
    </xdr:pic>
  </etc:cellImage>
  <etc:cellImage>
    <xdr:pic>
      <xdr:nvPicPr>
        <xdr:cNvPr id="279" name="ID_848DC94910274552A988D91126DA8BAB" descr="199"/>
        <xdr:cNvPicPr/>
      </xdr:nvPicPr>
      <xdr:blipFill>
        <a:blip r:embed="rId210"/>
        <a:srcRect/>
        <a:stretch>
          <a:fillRect/>
        </a:stretch>
      </xdr:blipFill>
      <xdr:spPr>
        <a:xfrm>
          <a:off x="5313680" y="227352225"/>
          <a:ext cx="1720215" cy="995680"/>
        </a:xfrm>
        <a:prstGeom prst="rect">
          <a:avLst/>
        </a:prstGeom>
        <a:noFill/>
      </xdr:spPr>
    </xdr:pic>
  </etc:cellImage>
  <etc:cellImage>
    <xdr:pic>
      <xdr:nvPicPr>
        <xdr:cNvPr id="335" name="ID_93D7F8F2BD7646C586B73CD2CFE43B33" descr="198"/>
        <xdr:cNvPicPr/>
      </xdr:nvPicPr>
      <xdr:blipFill>
        <a:blip r:embed="rId211"/>
        <a:srcRect/>
        <a:stretch>
          <a:fillRect/>
        </a:stretch>
      </xdr:blipFill>
      <xdr:spPr>
        <a:xfrm>
          <a:off x="5400040" y="226329875"/>
          <a:ext cx="1304925" cy="1024255"/>
        </a:xfrm>
        <a:prstGeom prst="rect">
          <a:avLst/>
        </a:prstGeom>
        <a:noFill/>
      </xdr:spPr>
    </xdr:pic>
  </etc:cellImage>
  <etc:cellImage>
    <xdr:pic>
      <xdr:nvPicPr>
        <xdr:cNvPr id="418" name="ID_A750EAB51F874C45A986B3E6437E05A6" descr="105"/>
        <xdr:cNvPicPr/>
      </xdr:nvPicPr>
      <xdr:blipFill>
        <a:blip r:embed="rId212"/>
        <a:srcRect/>
        <a:stretch>
          <a:fillRect/>
        </a:stretch>
      </xdr:blipFill>
      <xdr:spPr>
        <a:xfrm>
          <a:off x="1767205" y="139457430"/>
          <a:ext cx="563245" cy="364490"/>
        </a:xfrm>
        <a:prstGeom prst="rect">
          <a:avLst/>
        </a:prstGeom>
        <a:noFill/>
      </xdr:spPr>
    </xdr:pic>
  </etc:cellImage>
  <etc:cellImage>
    <xdr:pic>
      <xdr:nvPicPr>
        <xdr:cNvPr id="577" name="ID_37AA8C174DFE4D1EA7DF8B0EA26B84DF" descr="core_image_url__exec_download_4210492337"/>
        <xdr:cNvPicPr/>
      </xdr:nvPicPr>
      <xdr:blipFill>
        <a:blip r:embed="rId213"/>
        <a:stretch>
          <a:fillRect/>
        </a:stretch>
      </xdr:blipFill>
      <xdr:spPr>
        <a:xfrm>
          <a:off x="0" y="0"/>
          <a:ext cx="2514600" cy="1783080"/>
        </a:xfrm>
        <a:prstGeom prst="rect">
          <a:avLst/>
        </a:prstGeom>
      </xdr:spPr>
    </xdr:pic>
  </etc:cellImage>
  <etc:cellImage>
    <xdr:pic>
      <xdr:nvPicPr>
        <xdr:cNvPr id="512" name="ID_53262CCE89014717AAF1ABFE6C1608D7" descr="156"/>
        <xdr:cNvPicPr/>
      </xdr:nvPicPr>
      <xdr:blipFill>
        <a:blip r:embed="rId214"/>
        <a:srcRect/>
        <a:stretch>
          <a:fillRect/>
        </a:stretch>
      </xdr:blipFill>
      <xdr:spPr>
        <a:xfrm>
          <a:off x="1791970" y="179852955"/>
          <a:ext cx="411480" cy="327025"/>
        </a:xfrm>
        <a:prstGeom prst="rect">
          <a:avLst/>
        </a:prstGeom>
        <a:noFill/>
      </xdr:spPr>
    </xdr:pic>
  </etc:cellImage>
  <etc:cellImage>
    <xdr:pic>
      <xdr:nvPicPr>
        <xdr:cNvPr id="356" name="ID_77056350CE214A888574109EF046922D" descr="470"/>
        <xdr:cNvPicPr/>
      </xdr:nvPicPr>
      <xdr:blipFill>
        <a:blip r:embed="rId215"/>
        <a:srcRect/>
        <a:stretch>
          <a:fillRect/>
        </a:stretch>
      </xdr:blipFill>
      <xdr:spPr>
        <a:xfrm>
          <a:off x="1778000" y="139134850"/>
          <a:ext cx="486410" cy="318770"/>
        </a:xfrm>
        <a:prstGeom prst="rect">
          <a:avLst/>
        </a:prstGeom>
        <a:noFill/>
      </xdr:spPr>
    </xdr:pic>
  </etc:cellImage>
  <etc:cellImage>
    <xdr:pic>
      <xdr:nvPicPr>
        <xdr:cNvPr id="556" name="ID_E644DF381C7D4EB3AFA007AC5D1EF070" descr="25"/>
        <xdr:cNvPicPr/>
      </xdr:nvPicPr>
      <xdr:blipFill>
        <a:blip r:embed="rId216"/>
        <a:srcRect/>
        <a:stretch>
          <a:fillRect/>
        </a:stretch>
      </xdr:blipFill>
      <xdr:spPr>
        <a:xfrm>
          <a:off x="1811020" y="201181970"/>
          <a:ext cx="650875" cy="353695"/>
        </a:xfrm>
        <a:prstGeom prst="rect">
          <a:avLst/>
        </a:prstGeom>
        <a:noFill/>
      </xdr:spPr>
    </xdr:pic>
  </etc:cellImage>
  <etc:cellImage>
    <xdr:pic>
      <xdr:nvPicPr>
        <xdr:cNvPr id="339" name="ID_92817290954F40C280839ADD2C10E8D6" descr="148"/>
        <xdr:cNvPicPr/>
      </xdr:nvPicPr>
      <xdr:blipFill>
        <a:blip r:embed="rId217"/>
        <a:srcRect/>
        <a:stretch>
          <a:fillRect/>
        </a:stretch>
      </xdr:blipFill>
      <xdr:spPr>
        <a:xfrm>
          <a:off x="1827530" y="136413240"/>
          <a:ext cx="459740" cy="356235"/>
        </a:xfrm>
        <a:prstGeom prst="rect">
          <a:avLst/>
        </a:prstGeom>
        <a:noFill/>
      </xdr:spPr>
    </xdr:pic>
  </etc:cellImage>
  <etc:cellImage>
    <xdr:pic>
      <xdr:nvPicPr>
        <xdr:cNvPr id="355" name="ID_BC054F1C36154103A6B0A21A78095B4B" descr="132"/>
        <xdr:cNvPicPr/>
      </xdr:nvPicPr>
      <xdr:blipFill>
        <a:blip r:embed="rId218"/>
        <a:srcRect/>
        <a:stretch>
          <a:fillRect/>
        </a:stretch>
      </xdr:blipFill>
      <xdr:spPr>
        <a:xfrm>
          <a:off x="1764030" y="99850575"/>
          <a:ext cx="502920" cy="325755"/>
        </a:xfrm>
        <a:prstGeom prst="rect">
          <a:avLst/>
        </a:prstGeom>
        <a:noFill/>
      </xdr:spPr>
    </xdr:pic>
  </etc:cellImage>
  <etc:cellImage>
    <xdr:pic>
      <xdr:nvPicPr>
        <xdr:cNvPr id="472" name="ID_DD0B76B2C4424A59AE316E21F52CAA44" descr="201"/>
        <xdr:cNvPicPr>
          <a:picLocks noChangeAspect="1"/>
        </xdr:cNvPicPr>
      </xdr:nvPicPr>
      <xdr:blipFill>
        <a:blip r:embed="rId219"/>
        <a:srcRect/>
        <a:stretch>
          <a:fillRect/>
        </a:stretch>
      </xdr:blipFill>
      <xdr:spPr>
        <a:xfrm>
          <a:off x="1818005" y="134134860"/>
          <a:ext cx="534035" cy="358140"/>
        </a:xfrm>
        <a:prstGeom prst="rect">
          <a:avLst/>
        </a:prstGeom>
        <a:noFill/>
      </xdr:spPr>
    </xdr:pic>
  </etc:cellImage>
  <etc:cellImage>
    <xdr:pic>
      <xdr:nvPicPr>
        <xdr:cNvPr id="374" name="ID_3963225AFBA647F0973B686890ED700E" descr="33"/>
        <xdr:cNvPicPr/>
      </xdr:nvPicPr>
      <xdr:blipFill>
        <a:blip r:embed="rId220"/>
        <a:srcRect/>
        <a:stretch>
          <a:fillRect/>
        </a:stretch>
      </xdr:blipFill>
      <xdr:spPr>
        <a:xfrm>
          <a:off x="1812290" y="143665575"/>
          <a:ext cx="540385" cy="336550"/>
        </a:xfrm>
        <a:prstGeom prst="rect">
          <a:avLst/>
        </a:prstGeom>
        <a:noFill/>
      </xdr:spPr>
    </xdr:pic>
  </etc:cellImage>
  <etc:cellImage>
    <xdr:pic>
      <xdr:nvPicPr>
        <xdr:cNvPr id="445" name="ID_849A0785B66B4A6491EAF81FB3C408DB" descr="29"/>
        <xdr:cNvPicPr/>
      </xdr:nvPicPr>
      <xdr:blipFill>
        <a:blip r:embed="rId221"/>
        <a:srcRect/>
        <a:stretch>
          <a:fillRect/>
        </a:stretch>
      </xdr:blipFill>
      <xdr:spPr>
        <a:xfrm>
          <a:off x="1907540" y="94938850"/>
          <a:ext cx="720725" cy="422275"/>
        </a:xfrm>
        <a:prstGeom prst="rect">
          <a:avLst/>
        </a:prstGeom>
        <a:noFill/>
      </xdr:spPr>
    </xdr:pic>
  </etc:cellImage>
  <etc:cellImage>
    <xdr:pic>
      <xdr:nvPicPr>
        <xdr:cNvPr id="501" name="ID_08769DA94F7D41B4B20DA46B2E01D6A1" descr="445"/>
        <xdr:cNvPicPr/>
      </xdr:nvPicPr>
      <xdr:blipFill>
        <a:blip r:embed="rId222"/>
        <a:srcRect/>
        <a:stretch>
          <a:fillRect/>
        </a:stretch>
      </xdr:blipFill>
      <xdr:spPr>
        <a:xfrm>
          <a:off x="1905635" y="173793785"/>
          <a:ext cx="576580" cy="358140"/>
        </a:xfrm>
        <a:prstGeom prst="rect">
          <a:avLst/>
        </a:prstGeom>
        <a:noFill/>
      </xdr:spPr>
    </xdr:pic>
  </etc:cellImage>
  <etc:cellImage>
    <xdr:pic>
      <xdr:nvPicPr>
        <xdr:cNvPr id="101" name="ID_FC1E1B01915549CBB5ABD064A2590BF9" descr="core_image_url__exec_download_2496753194"/>
        <xdr:cNvPicPr/>
      </xdr:nvPicPr>
      <xdr:blipFill>
        <a:blip r:embed="rId223"/>
        <a:stretch>
          <a:fillRect/>
        </a:stretch>
      </xdr:blipFill>
      <xdr:spPr>
        <a:xfrm>
          <a:off x="0" y="0"/>
          <a:ext cx="266700" cy="281940"/>
        </a:xfrm>
        <a:prstGeom prst="rect">
          <a:avLst/>
        </a:prstGeom>
      </xdr:spPr>
    </xdr:pic>
  </etc:cellImage>
  <etc:cellImage>
    <xdr:pic>
      <xdr:nvPicPr>
        <xdr:cNvPr id="79" name="ID_4449BEB022A24FBE88189DDDE77AE6B0" descr="core_image_url__exec_download_4188341959"/>
        <xdr:cNvPicPr/>
      </xdr:nvPicPr>
      <xdr:blipFill>
        <a:blip r:embed="rId224"/>
        <a:stretch>
          <a:fillRect/>
        </a:stretch>
      </xdr:blipFill>
      <xdr:spPr>
        <a:xfrm>
          <a:off x="0" y="0"/>
          <a:ext cx="480060" cy="327660"/>
        </a:xfrm>
        <a:prstGeom prst="rect">
          <a:avLst/>
        </a:prstGeom>
      </xdr:spPr>
    </xdr:pic>
  </etc:cellImage>
  <etc:cellImage>
    <xdr:pic>
      <xdr:nvPicPr>
        <xdr:cNvPr id="467" name="ID_59A88A3DE2D44E529D87E0FDBB3F15F6" descr="420"/>
        <xdr:cNvPicPr/>
      </xdr:nvPicPr>
      <xdr:blipFill>
        <a:blip r:embed="rId225"/>
        <a:srcRect/>
        <a:stretch>
          <a:fillRect/>
        </a:stretch>
      </xdr:blipFill>
      <xdr:spPr>
        <a:xfrm>
          <a:off x="1746250" y="162687000"/>
          <a:ext cx="647700" cy="401320"/>
        </a:xfrm>
        <a:prstGeom prst="rect">
          <a:avLst/>
        </a:prstGeom>
        <a:noFill/>
      </xdr:spPr>
    </xdr:pic>
  </etc:cellImage>
  <etc:cellImage>
    <xdr:pic>
      <xdr:nvPicPr>
        <xdr:cNvPr id="484" name="ID_68A825F8DA4F4BDF9500EC58B04EC10C" descr="core_image_url__exec_download_1585662553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2052320" y="165751510"/>
          <a:ext cx="550545" cy="358140"/>
        </a:xfrm>
        <a:prstGeom prst="rect">
          <a:avLst/>
        </a:prstGeom>
      </xdr:spPr>
    </xdr:pic>
  </etc:cellImage>
  <etc:cellImage>
    <xdr:pic>
      <xdr:nvPicPr>
        <xdr:cNvPr id="321" name="ID_A255B9FD1F5E4D5DBC5DD8E556B52EDE" descr="253"/>
        <xdr:cNvPicPr/>
      </xdr:nvPicPr>
      <xdr:blipFill>
        <a:blip r:embed="rId227"/>
        <a:srcRect/>
        <a:stretch>
          <a:fillRect/>
        </a:stretch>
      </xdr:blipFill>
      <xdr:spPr>
        <a:xfrm>
          <a:off x="1809750" y="130345180"/>
          <a:ext cx="614680" cy="346075"/>
        </a:xfrm>
        <a:prstGeom prst="rect">
          <a:avLst/>
        </a:prstGeom>
        <a:noFill/>
      </xdr:spPr>
    </xdr:pic>
  </etc:cellImage>
  <etc:cellImage>
    <xdr:pic>
      <xdr:nvPicPr>
        <xdr:cNvPr id="482" name="ID_29FDFBDCFC3B4EF6BF2C20BCC6FF0459" descr="68"/>
        <xdr:cNvPicPr/>
      </xdr:nvPicPr>
      <xdr:blipFill>
        <a:blip r:embed="rId228"/>
        <a:srcRect/>
        <a:stretch>
          <a:fillRect/>
        </a:stretch>
      </xdr:blipFill>
      <xdr:spPr>
        <a:xfrm>
          <a:off x="1793240" y="165039675"/>
          <a:ext cx="539750" cy="285750"/>
        </a:xfrm>
        <a:prstGeom prst="rect">
          <a:avLst/>
        </a:prstGeom>
        <a:noFill/>
      </xdr:spPr>
    </xdr:pic>
  </etc:cellImage>
  <etc:cellImage>
    <xdr:pic>
      <xdr:nvPicPr>
        <xdr:cNvPr id="409" name="ID_AA2B8A3A4BA045FBBDF686EF238146D8" descr="189"/>
        <xdr:cNvPicPr/>
      </xdr:nvPicPr>
      <xdr:blipFill>
        <a:blip r:embed="rId229"/>
        <a:srcRect/>
        <a:stretch>
          <a:fillRect/>
        </a:stretch>
      </xdr:blipFill>
      <xdr:spPr>
        <a:xfrm>
          <a:off x="1821180" y="142534005"/>
          <a:ext cx="426720" cy="304800"/>
        </a:xfrm>
        <a:prstGeom prst="rect">
          <a:avLst/>
        </a:prstGeom>
        <a:noFill/>
      </xdr:spPr>
    </xdr:pic>
  </etc:cellImage>
  <etc:cellImage>
    <xdr:pic>
      <xdr:nvPicPr>
        <xdr:cNvPr id="423" name="ID_46AF3F3708F24E9A957E6BFC23D00278" descr="217"/>
        <xdr:cNvPicPr/>
      </xdr:nvPicPr>
      <xdr:blipFill>
        <a:blip r:embed="rId230"/>
        <a:srcRect/>
        <a:stretch>
          <a:fillRect/>
        </a:stretch>
      </xdr:blipFill>
      <xdr:spPr>
        <a:xfrm>
          <a:off x="1781175" y="154331035"/>
          <a:ext cx="666115" cy="363220"/>
        </a:xfrm>
        <a:prstGeom prst="rect">
          <a:avLst/>
        </a:prstGeom>
        <a:noFill/>
      </xdr:spPr>
    </xdr:pic>
  </etc:cellImage>
  <etc:cellImage>
    <xdr:pic>
      <xdr:nvPicPr>
        <xdr:cNvPr id="534" name="ID_D3AC61B70E1D4E4E95310224CDFF89C5" descr="432"/>
        <xdr:cNvPicPr/>
      </xdr:nvPicPr>
      <xdr:blipFill>
        <a:blip r:embed="rId175"/>
        <a:srcRect/>
        <a:stretch>
          <a:fillRect/>
        </a:stretch>
      </xdr:blipFill>
      <xdr:spPr>
        <a:xfrm>
          <a:off x="1746250" y="190119000"/>
          <a:ext cx="458470" cy="359410"/>
        </a:xfrm>
        <a:prstGeom prst="rect">
          <a:avLst/>
        </a:prstGeom>
        <a:noFill/>
      </xdr:spPr>
    </xdr:pic>
  </etc:cellImage>
  <etc:cellImage>
    <xdr:pic>
      <xdr:nvPicPr>
        <xdr:cNvPr id="421" name="ID_47EA6FA0E5514D51A90BD7DED230056E" descr="428"/>
        <xdr:cNvPicPr/>
      </xdr:nvPicPr>
      <xdr:blipFill>
        <a:blip r:embed="rId231"/>
        <a:srcRect/>
        <a:stretch>
          <a:fillRect/>
        </a:stretch>
      </xdr:blipFill>
      <xdr:spPr>
        <a:xfrm>
          <a:off x="1746250" y="131826000"/>
          <a:ext cx="488950" cy="362585"/>
        </a:xfrm>
        <a:prstGeom prst="rect">
          <a:avLst/>
        </a:prstGeom>
        <a:noFill/>
      </xdr:spPr>
    </xdr:pic>
  </etc:cellImage>
  <etc:cellImage>
    <xdr:pic>
      <xdr:nvPicPr>
        <xdr:cNvPr id="55" name="ID_3E15E7691C9C4E68874B37C84F6C2DEC" descr="core_image_url__exec_download_1866852453"/>
        <xdr:cNvPicPr/>
      </xdr:nvPicPr>
      <xdr:blipFill>
        <a:blip r:embed="rId232"/>
        <a:stretch>
          <a:fillRect/>
        </a:stretch>
      </xdr:blipFill>
      <xdr:spPr>
        <a:xfrm>
          <a:off x="0" y="0"/>
          <a:ext cx="2867025" cy="1238250"/>
        </a:xfrm>
        <a:prstGeom prst="rect">
          <a:avLst/>
        </a:prstGeom>
      </xdr:spPr>
    </xdr:pic>
  </etc:cellImage>
  <etc:cellImage>
    <xdr:pic>
      <xdr:nvPicPr>
        <xdr:cNvPr id="363" name="ID_CC6C6644365646B29F8F648D3E208FDE" descr="15"/>
        <xdr:cNvPicPr/>
      </xdr:nvPicPr>
      <xdr:blipFill>
        <a:blip r:embed="rId233"/>
        <a:srcRect/>
        <a:stretch>
          <a:fillRect/>
        </a:stretch>
      </xdr:blipFill>
      <xdr:spPr>
        <a:xfrm>
          <a:off x="1816100" y="134548880"/>
          <a:ext cx="401320" cy="303530"/>
        </a:xfrm>
        <a:prstGeom prst="rect">
          <a:avLst/>
        </a:prstGeom>
        <a:noFill/>
      </xdr:spPr>
    </xdr:pic>
  </etc:cellImage>
  <etc:cellImage>
    <xdr:pic>
      <xdr:nvPicPr>
        <xdr:cNvPr id="523" name="ID_4E12436E880C405A9344B4D5CCF7C83B" descr="377"/>
        <xdr:cNvPicPr/>
      </xdr:nvPicPr>
      <xdr:blipFill>
        <a:blip r:embed="rId234"/>
        <a:srcRect/>
        <a:stretch>
          <a:fillRect/>
        </a:stretch>
      </xdr:blipFill>
      <xdr:spPr>
        <a:xfrm>
          <a:off x="1746250" y="186309000"/>
          <a:ext cx="535305" cy="343535"/>
        </a:xfrm>
        <a:prstGeom prst="rect">
          <a:avLst/>
        </a:prstGeom>
        <a:noFill/>
      </xdr:spPr>
    </xdr:pic>
  </etc:cellImage>
  <etc:cellImage>
    <xdr:pic>
      <xdr:nvPicPr>
        <xdr:cNvPr id="330" name="ID_39FA49E900AE43C3A3B7E3C78BE02D84" descr="566"/>
        <xdr:cNvPicPr/>
      </xdr:nvPicPr>
      <xdr:blipFill>
        <a:blip r:embed="rId235"/>
        <a:srcRect/>
        <a:stretch>
          <a:fillRect/>
        </a:stretch>
      </xdr:blipFill>
      <xdr:spPr>
        <a:xfrm>
          <a:off x="1805305" y="8382000"/>
          <a:ext cx="897890" cy="382905"/>
        </a:xfrm>
        <a:prstGeom prst="rect">
          <a:avLst/>
        </a:prstGeom>
        <a:noFill/>
      </xdr:spPr>
    </xdr:pic>
  </etc:cellImage>
  <etc:cellImage>
    <xdr:pic>
      <xdr:nvPicPr>
        <xdr:cNvPr id="141" name="ID_7F52AE356F0C4F03B76987CF23D46B2B" descr="core_image_url__exec_download_1490268508"/>
        <xdr:cNvPicPr/>
      </xdr:nvPicPr>
      <xdr:blipFill>
        <a:blip r:embed="rId57"/>
        <a:stretch>
          <a:fillRect/>
        </a:stretch>
      </xdr:blipFill>
      <xdr:spPr>
        <a:xfrm>
          <a:off x="0" y="0"/>
          <a:ext cx="4991100" cy="2349500"/>
        </a:xfrm>
        <a:prstGeom prst="rect">
          <a:avLst/>
        </a:prstGeom>
      </xdr:spPr>
    </xdr:pic>
  </etc:cellImage>
  <etc:cellImage>
    <xdr:pic>
      <xdr:nvPicPr>
        <xdr:cNvPr id="44" name="ID_E22CA6C1F0BF4673B256E42E91A9115C" descr="core_image_url__exec_download_2166267079"/>
        <xdr:cNvPicPr/>
      </xdr:nvPicPr>
      <xdr:blipFill>
        <a:blip r:embed="rId236"/>
        <a:stretch>
          <a:fillRect/>
        </a:stretch>
      </xdr:blipFill>
      <xdr:spPr>
        <a:xfrm>
          <a:off x="0" y="0"/>
          <a:ext cx="1417320" cy="922020"/>
        </a:xfrm>
        <a:prstGeom prst="rect">
          <a:avLst/>
        </a:prstGeom>
      </xdr:spPr>
    </xdr:pic>
  </etc:cellImage>
  <etc:cellImage>
    <xdr:pic>
      <xdr:nvPicPr>
        <xdr:cNvPr id="240" name="ID_8BC67844762D4F2AADFD29CCBF231A6E" descr="339"/>
        <xdr:cNvPicPr/>
      </xdr:nvPicPr>
      <xdr:blipFill>
        <a:blip r:embed="rId237"/>
        <a:srcRect/>
        <a:stretch>
          <a:fillRect/>
        </a:stretch>
      </xdr:blipFill>
      <xdr:spPr>
        <a:xfrm>
          <a:off x="1767840" y="91508580"/>
          <a:ext cx="558800" cy="288290"/>
        </a:xfrm>
        <a:prstGeom prst="rect">
          <a:avLst/>
        </a:prstGeom>
        <a:noFill/>
      </xdr:spPr>
    </xdr:pic>
  </etc:cellImage>
  <etc:cellImage>
    <xdr:pic>
      <xdr:nvPicPr>
        <xdr:cNvPr id="53" name="ID_825FC1F3EE394CE096AD5C0F86CD5D54" descr="core_image_url__exec_download_2051323176"/>
        <xdr:cNvPicPr/>
      </xdr:nvPicPr>
      <xdr:blipFill>
        <a:blip r:embed="rId238"/>
        <a:stretch>
          <a:fillRect/>
        </a:stretch>
      </xdr:blipFill>
      <xdr:spPr>
        <a:xfrm>
          <a:off x="0" y="0"/>
          <a:ext cx="1628775" cy="866775"/>
        </a:xfrm>
        <a:prstGeom prst="rect">
          <a:avLst/>
        </a:prstGeom>
      </xdr:spPr>
    </xdr:pic>
  </etc:cellImage>
  <etc:cellImage>
    <xdr:pic>
      <xdr:nvPicPr>
        <xdr:cNvPr id="350" name="ID_E2A027E6D379439084ED114FD90D7773" descr="252"/>
        <xdr:cNvPicPr/>
      </xdr:nvPicPr>
      <xdr:blipFill>
        <a:blip r:embed="rId239"/>
        <a:srcRect/>
        <a:stretch>
          <a:fillRect/>
        </a:stretch>
      </xdr:blipFill>
      <xdr:spPr>
        <a:xfrm>
          <a:off x="1814830" y="129935605"/>
          <a:ext cx="332740" cy="325120"/>
        </a:xfrm>
        <a:prstGeom prst="rect">
          <a:avLst/>
        </a:prstGeom>
        <a:noFill/>
      </xdr:spPr>
    </xdr:pic>
  </etc:cellImage>
  <etc:cellImage>
    <xdr:pic>
      <xdr:nvPicPr>
        <xdr:cNvPr id="2" name="ID_52D2BBEE1B644495993B806B553CCEE9" descr="550"/>
        <xdr:cNvPicPr/>
      </xdr:nvPicPr>
      <xdr:blipFill>
        <a:blip r:embed="rId240"/>
        <a:srcRect/>
        <a:stretch>
          <a:fillRect/>
        </a:stretch>
      </xdr:blipFill>
      <xdr:spPr>
        <a:xfrm>
          <a:off x="2175510" y="417830"/>
          <a:ext cx="419735" cy="375920"/>
        </a:xfrm>
        <a:prstGeom prst="rect">
          <a:avLst/>
        </a:prstGeom>
        <a:noFill/>
      </xdr:spPr>
    </xdr:pic>
  </etc:cellImage>
  <etc:cellImage>
    <xdr:pic>
      <xdr:nvPicPr>
        <xdr:cNvPr id="291" name="ID_0228C32636BB46D7B699B8293903BE69" descr="515"/>
        <xdr:cNvPicPr/>
      </xdr:nvPicPr>
      <xdr:blipFill>
        <a:blip r:embed="rId241"/>
        <a:srcRect/>
        <a:stretch>
          <a:fillRect/>
        </a:stretch>
      </xdr:blipFill>
      <xdr:spPr>
        <a:xfrm>
          <a:off x="1845945" y="107890310"/>
          <a:ext cx="819150" cy="372745"/>
        </a:xfrm>
        <a:prstGeom prst="rect">
          <a:avLst/>
        </a:prstGeom>
        <a:noFill/>
      </xdr:spPr>
    </xdr:pic>
  </etc:cellImage>
  <etc:cellImage>
    <xdr:pic>
      <xdr:nvPicPr>
        <xdr:cNvPr id="306" name="ID_1947E64DB1094A678F7366DAF7D7D26A" descr="220"/>
        <xdr:cNvPicPr/>
      </xdr:nvPicPr>
      <xdr:blipFill>
        <a:blip r:embed="rId242"/>
        <a:srcRect/>
        <a:stretch>
          <a:fillRect/>
        </a:stretch>
      </xdr:blipFill>
      <xdr:spPr>
        <a:xfrm>
          <a:off x="1769110" y="125771275"/>
          <a:ext cx="807085" cy="325120"/>
        </a:xfrm>
        <a:prstGeom prst="rect">
          <a:avLst/>
        </a:prstGeom>
        <a:noFill/>
      </xdr:spPr>
    </xdr:pic>
  </etc:cellImage>
  <etc:cellImage>
    <xdr:pic>
      <xdr:nvPicPr>
        <xdr:cNvPr id="257" name="ID_A323400B39FE4B50889BB66C36E20D87" descr="93"/>
        <xdr:cNvPicPr/>
      </xdr:nvPicPr>
      <xdr:blipFill>
        <a:blip r:embed="rId243"/>
        <a:srcRect/>
        <a:stretch>
          <a:fillRect/>
        </a:stretch>
      </xdr:blipFill>
      <xdr:spPr>
        <a:xfrm>
          <a:off x="1856105" y="98740595"/>
          <a:ext cx="596900" cy="407035"/>
        </a:xfrm>
        <a:prstGeom prst="rect">
          <a:avLst/>
        </a:prstGeom>
        <a:noFill/>
      </xdr:spPr>
    </xdr:pic>
  </etc:cellImage>
  <etc:cellImage>
    <xdr:pic>
      <xdr:nvPicPr>
        <xdr:cNvPr id="455" name="ID_4C87BA24316E4833B952CDDFD73EE56C" descr="core_image_url__exec_download_3042022295"/>
        <xdr:cNvPicPr/>
      </xdr:nvPicPr>
      <xdr:blipFill>
        <a:blip r:embed="rId244"/>
        <a:stretch>
          <a:fillRect/>
        </a:stretch>
      </xdr:blipFill>
      <xdr:spPr>
        <a:xfrm>
          <a:off x="0" y="0"/>
          <a:ext cx="1911350" cy="762000"/>
        </a:xfrm>
        <a:prstGeom prst="rect">
          <a:avLst/>
        </a:prstGeom>
      </xdr:spPr>
    </xdr:pic>
  </etc:cellImage>
  <etc:cellImage>
    <xdr:pic>
      <xdr:nvPicPr>
        <xdr:cNvPr id="107" name="ID_3181554483E74267A8F611C67EDB0998" descr="core_image_url__exec_download_1733490117"/>
        <xdr:cNvPicPr/>
      </xdr:nvPicPr>
      <xdr:blipFill>
        <a:blip r:embed="rId245"/>
        <a:stretch>
          <a:fillRect/>
        </a:stretch>
      </xdr:blipFill>
      <xdr:spPr>
        <a:xfrm>
          <a:off x="0" y="0"/>
          <a:ext cx="381000" cy="335280"/>
        </a:xfrm>
        <a:prstGeom prst="rect">
          <a:avLst/>
        </a:prstGeom>
      </xdr:spPr>
    </xdr:pic>
  </etc:cellImage>
  <etc:cellImage>
    <xdr:pic>
      <xdr:nvPicPr>
        <xdr:cNvPr id="669" name="ID_7A3510CCEFFB440C909F351CCB5EB9F2" descr="core_image_url__exec_download_2742852908"/>
        <xdr:cNvPicPr/>
      </xdr:nvPicPr>
      <xdr:blipFill>
        <a:blip r:embed="rId26"/>
        <a:stretch>
          <a:fillRect/>
        </a:stretch>
      </xdr:blipFill>
      <xdr:spPr>
        <a:xfrm>
          <a:off x="0" y="0"/>
          <a:ext cx="5105400" cy="3200400"/>
        </a:xfrm>
        <a:prstGeom prst="rect">
          <a:avLst/>
        </a:prstGeom>
      </xdr:spPr>
    </xdr:pic>
  </etc:cellImage>
  <etc:cellImage>
    <xdr:pic>
      <xdr:nvPicPr>
        <xdr:cNvPr id="98" name="ID_77585BC335C1425C949A42761BC9E1F4" descr="core_image_url__exec_download_3615933728"/>
        <xdr:cNvPicPr/>
      </xdr:nvPicPr>
      <xdr:blipFill>
        <a:blip r:embed="rId246"/>
        <a:stretch>
          <a:fillRect/>
        </a:stretch>
      </xdr:blipFill>
      <xdr:spPr>
        <a:xfrm>
          <a:off x="0" y="0"/>
          <a:ext cx="441960" cy="327660"/>
        </a:xfrm>
        <a:prstGeom prst="rect">
          <a:avLst/>
        </a:prstGeom>
      </xdr:spPr>
    </xdr:pic>
  </etc:cellImage>
  <etc:cellImage>
    <xdr:pic>
      <xdr:nvPicPr>
        <xdr:cNvPr id="225" name="ID_A40244EC4BFE4D87BE31B09E8D959EB0" descr="390"/>
        <xdr:cNvPicPr/>
      </xdr:nvPicPr>
      <xdr:blipFill>
        <a:blip r:embed="rId247"/>
        <a:srcRect/>
        <a:stretch>
          <a:fillRect/>
        </a:stretch>
      </xdr:blipFill>
      <xdr:spPr>
        <a:xfrm>
          <a:off x="1765300" y="87259795"/>
          <a:ext cx="631190" cy="337820"/>
        </a:xfrm>
        <a:prstGeom prst="rect">
          <a:avLst/>
        </a:prstGeom>
        <a:noFill/>
      </xdr:spPr>
    </xdr:pic>
  </etc:cellImage>
  <etc:cellImage>
    <xdr:pic>
      <xdr:nvPicPr>
        <xdr:cNvPr id="345" name="ID_4C56CFFFE57745A68D1B9E72FB33E20B" descr="184"/>
        <xdr:cNvPicPr/>
      </xdr:nvPicPr>
      <xdr:blipFill>
        <a:blip r:embed="rId248"/>
        <a:srcRect/>
        <a:stretch>
          <a:fillRect/>
        </a:stretch>
      </xdr:blipFill>
      <xdr:spPr>
        <a:xfrm>
          <a:off x="1802765" y="137212705"/>
          <a:ext cx="486410" cy="341630"/>
        </a:xfrm>
        <a:prstGeom prst="rect">
          <a:avLst/>
        </a:prstGeom>
        <a:noFill/>
      </xdr:spPr>
    </xdr:pic>
  </etc:cellImage>
  <etc:cellImage>
    <xdr:pic>
      <xdr:nvPicPr>
        <xdr:cNvPr id="385" name="ID_E5255C3E7FF943B3BBD6C8B7C2EC9A51" descr="265"/>
        <xdr:cNvPicPr/>
      </xdr:nvPicPr>
      <xdr:blipFill>
        <a:blip r:embed="rId249"/>
        <a:srcRect/>
        <a:stretch>
          <a:fillRect/>
        </a:stretch>
      </xdr:blipFill>
      <xdr:spPr>
        <a:xfrm>
          <a:off x="1776730" y="130747770"/>
          <a:ext cx="660400" cy="254635"/>
        </a:xfrm>
        <a:prstGeom prst="rect">
          <a:avLst/>
        </a:prstGeom>
        <a:noFill/>
      </xdr:spPr>
    </xdr:pic>
  </etc:cellImage>
  <etc:cellImage>
    <xdr:pic>
      <xdr:nvPicPr>
        <xdr:cNvPr id="92" name="ID_83BC2A259B414E4E9C0C765E9351AA31" descr="core_image_url__exec_download_2053097429"/>
        <xdr:cNvPicPr/>
      </xdr:nvPicPr>
      <xdr:blipFill>
        <a:blip r:embed="rId250"/>
        <a:stretch>
          <a:fillRect/>
        </a:stretch>
      </xdr:blipFill>
      <xdr:spPr>
        <a:xfrm>
          <a:off x="0" y="0"/>
          <a:ext cx="502920" cy="312420"/>
        </a:xfrm>
        <a:prstGeom prst="rect">
          <a:avLst/>
        </a:prstGeom>
      </xdr:spPr>
    </xdr:pic>
  </etc:cellImage>
  <etc:cellImage>
    <xdr:pic>
      <xdr:nvPicPr>
        <xdr:cNvPr id="579" name="ID_16D1E0CF57214F3EAC2AC27409134050" descr="2"/>
        <xdr:cNvPicPr/>
      </xdr:nvPicPr>
      <xdr:blipFill>
        <a:blip r:embed="rId164"/>
        <a:srcRect/>
        <a:stretch>
          <a:fillRect/>
        </a:stretch>
      </xdr:blipFill>
      <xdr:spPr>
        <a:xfrm>
          <a:off x="2042160" y="213444455"/>
          <a:ext cx="808990" cy="381635"/>
        </a:xfrm>
        <a:prstGeom prst="rect">
          <a:avLst/>
        </a:prstGeom>
        <a:noFill/>
      </xdr:spPr>
    </xdr:pic>
  </etc:cellImage>
  <etc:cellImage>
    <xdr:pic>
      <xdr:nvPicPr>
        <xdr:cNvPr id="386" name="ID_433E2951C9B047B3B16C77C9FB710DAA" descr="44"/>
        <xdr:cNvPicPr/>
      </xdr:nvPicPr>
      <xdr:blipFill>
        <a:blip r:embed="rId251"/>
        <a:srcRect/>
        <a:stretch>
          <a:fillRect/>
        </a:stretch>
      </xdr:blipFill>
      <xdr:spPr>
        <a:xfrm>
          <a:off x="1769110" y="147854035"/>
          <a:ext cx="551815" cy="335915"/>
        </a:xfrm>
        <a:prstGeom prst="rect">
          <a:avLst/>
        </a:prstGeom>
        <a:noFill/>
      </xdr:spPr>
    </xdr:pic>
  </etc:cellImage>
  <etc:cellImage>
    <xdr:pic>
      <xdr:nvPicPr>
        <xdr:cNvPr id="241" name="ID_265A2FAF4529436DAE0CE7851E72034E" descr="core_image_url__exec_download_2924082117"/>
        <xdr:cNvPicPr/>
      </xdr:nvPicPr>
      <xdr:blipFill>
        <a:blip r:embed="rId252"/>
        <a:stretch>
          <a:fillRect/>
        </a:stretch>
      </xdr:blipFill>
      <xdr:spPr>
        <a:xfrm>
          <a:off x="0" y="0"/>
          <a:ext cx="1739900" cy="1238250"/>
        </a:xfrm>
        <a:prstGeom prst="rect">
          <a:avLst/>
        </a:prstGeom>
      </xdr:spPr>
    </xdr:pic>
  </etc:cellImage>
  <etc:cellImage>
    <xdr:pic>
      <xdr:nvPicPr>
        <xdr:cNvPr id="507" name="ID_A5812708033C4004A8E0D8BE29DE20E1" descr="151"/>
        <xdr:cNvPicPr/>
      </xdr:nvPicPr>
      <xdr:blipFill>
        <a:blip r:embed="rId253"/>
        <a:srcRect/>
        <a:stretch>
          <a:fillRect/>
        </a:stretch>
      </xdr:blipFill>
      <xdr:spPr>
        <a:xfrm>
          <a:off x="1840230" y="178019075"/>
          <a:ext cx="461645" cy="334645"/>
        </a:xfrm>
        <a:prstGeom prst="rect">
          <a:avLst/>
        </a:prstGeom>
        <a:noFill/>
      </xdr:spPr>
    </xdr:pic>
  </etc:cellImage>
  <etc:cellImage>
    <xdr:pic>
      <xdr:nvPicPr>
        <xdr:cNvPr id="94" name="ID_5864639D55C6465CB7E261E7EEC39C02" descr="core_image_url__exec_download_2331954018"/>
        <xdr:cNvPicPr/>
      </xdr:nvPicPr>
      <xdr:blipFill>
        <a:blip r:embed="rId254"/>
        <a:stretch>
          <a:fillRect/>
        </a:stretch>
      </xdr:blipFill>
      <xdr:spPr>
        <a:xfrm>
          <a:off x="0" y="0"/>
          <a:ext cx="381000" cy="304800"/>
        </a:xfrm>
        <a:prstGeom prst="rect">
          <a:avLst/>
        </a:prstGeom>
      </xdr:spPr>
    </xdr:pic>
  </etc:cellImage>
  <etc:cellImage>
    <xdr:pic>
      <xdr:nvPicPr>
        <xdr:cNvPr id="367" name="ID_08B21F40E0194E86A83A83EA2F7EE5CC" descr="258"/>
        <xdr:cNvPicPr/>
      </xdr:nvPicPr>
      <xdr:blipFill>
        <a:blip r:embed="rId255"/>
        <a:srcRect/>
        <a:stretch>
          <a:fillRect/>
        </a:stretch>
      </xdr:blipFill>
      <xdr:spPr>
        <a:xfrm>
          <a:off x="1754505" y="128004570"/>
          <a:ext cx="647700" cy="386715"/>
        </a:xfrm>
        <a:prstGeom prst="rect">
          <a:avLst/>
        </a:prstGeom>
        <a:noFill/>
      </xdr:spPr>
    </xdr:pic>
  </etc:cellImage>
  <etc:cellImage>
    <xdr:pic>
      <xdr:nvPicPr>
        <xdr:cNvPr id="582" name="ID_A92252161256444F8891A1E73022EF0E" descr="1"/>
        <xdr:cNvPicPr/>
      </xdr:nvPicPr>
      <xdr:blipFill>
        <a:blip r:embed="rId256"/>
        <a:srcRect/>
        <a:stretch>
          <a:fillRect/>
        </a:stretch>
      </xdr:blipFill>
      <xdr:spPr>
        <a:xfrm>
          <a:off x="2188845" y="214283290"/>
          <a:ext cx="455295" cy="361950"/>
        </a:xfrm>
        <a:prstGeom prst="rect">
          <a:avLst/>
        </a:prstGeom>
        <a:noFill/>
      </xdr:spPr>
    </xdr:pic>
  </etc:cellImage>
  <etc:cellImage>
    <xdr:pic>
      <xdr:nvPicPr>
        <xdr:cNvPr id="250" name="ID_2D1A7123F1954634BC29DD1E8C556D93" descr="30"/>
        <xdr:cNvPicPr/>
      </xdr:nvPicPr>
      <xdr:blipFill>
        <a:blip r:embed="rId257"/>
        <a:srcRect/>
        <a:stretch>
          <a:fillRect/>
        </a:stretch>
      </xdr:blipFill>
      <xdr:spPr>
        <a:xfrm>
          <a:off x="1990090" y="97594420"/>
          <a:ext cx="836930" cy="345440"/>
        </a:xfrm>
        <a:prstGeom prst="rect">
          <a:avLst/>
        </a:prstGeom>
        <a:noFill/>
      </xdr:spPr>
    </xdr:pic>
  </etc:cellImage>
  <etc:cellImage>
    <xdr:pic>
      <xdr:nvPicPr>
        <xdr:cNvPr id="71" name="ID_190AE47166E84379850D914BEC461BD8" descr="core_image_url__exec_download_2595057741"/>
        <xdr:cNvPicPr/>
      </xdr:nvPicPr>
      <xdr:blipFill>
        <a:blip r:embed="rId258"/>
        <a:stretch>
          <a:fillRect/>
        </a:stretch>
      </xdr:blipFill>
      <xdr:spPr>
        <a:xfrm>
          <a:off x="0" y="0"/>
          <a:ext cx="2809875" cy="1352550"/>
        </a:xfrm>
        <a:prstGeom prst="rect">
          <a:avLst/>
        </a:prstGeom>
      </xdr:spPr>
    </xdr:pic>
  </etc:cellImage>
  <etc:cellImage>
    <xdr:pic>
      <xdr:nvPicPr>
        <xdr:cNvPr id="344" name="ID_AEF55545144B465FB8E383D3698B6258" descr="149"/>
        <xdr:cNvPicPr/>
      </xdr:nvPicPr>
      <xdr:blipFill>
        <a:blip r:embed="rId259"/>
        <a:srcRect/>
        <a:stretch>
          <a:fillRect/>
        </a:stretch>
      </xdr:blipFill>
      <xdr:spPr>
        <a:xfrm>
          <a:off x="1932940" y="136910445"/>
          <a:ext cx="379095" cy="370205"/>
        </a:xfrm>
        <a:prstGeom prst="rect">
          <a:avLst/>
        </a:prstGeom>
        <a:noFill/>
      </xdr:spPr>
    </xdr:pic>
  </etc:cellImage>
  <etc:cellImage>
    <xdr:pic>
      <xdr:nvPicPr>
        <xdr:cNvPr id="420" name="ID_FAFCB14787F24F5FA27B2D48A4435405" descr="92"/>
        <xdr:cNvPicPr/>
      </xdr:nvPicPr>
      <xdr:blipFill>
        <a:blip r:embed="rId260"/>
        <a:srcRect/>
        <a:stretch>
          <a:fillRect/>
        </a:stretch>
      </xdr:blipFill>
      <xdr:spPr>
        <a:xfrm>
          <a:off x="1828165" y="152535890"/>
          <a:ext cx="335280" cy="321945"/>
        </a:xfrm>
        <a:prstGeom prst="rect">
          <a:avLst/>
        </a:prstGeom>
        <a:noFill/>
      </xdr:spPr>
    </xdr:pic>
  </etc:cellImage>
  <etc:cellImage>
    <xdr:pic>
      <xdr:nvPicPr>
        <xdr:cNvPr id="357" name="ID_F8B7744F88414DF0A2E2004F2ACEEB28" descr="107"/>
        <xdr:cNvPicPr/>
      </xdr:nvPicPr>
      <xdr:blipFill>
        <a:blip r:embed="rId261"/>
        <a:srcRect/>
        <a:stretch>
          <a:fillRect/>
        </a:stretch>
      </xdr:blipFill>
      <xdr:spPr>
        <a:xfrm>
          <a:off x="1796415" y="140225145"/>
          <a:ext cx="464185" cy="309245"/>
        </a:xfrm>
        <a:prstGeom prst="rect">
          <a:avLst/>
        </a:prstGeom>
        <a:noFill/>
      </xdr:spPr>
    </xdr:pic>
  </etc:cellImage>
  <etc:cellImage>
    <xdr:pic>
      <xdr:nvPicPr>
        <xdr:cNvPr id="269" name="ID_2F837DFA109345CE9CF3BFBF1A00A3A6" descr="419"/>
        <xdr:cNvPicPr/>
      </xdr:nvPicPr>
      <xdr:blipFill>
        <a:blip r:embed="rId262"/>
        <a:srcRect/>
        <a:stretch>
          <a:fillRect/>
        </a:stretch>
      </xdr:blipFill>
      <xdr:spPr>
        <a:xfrm>
          <a:off x="1804670" y="96115505"/>
          <a:ext cx="619125" cy="363220"/>
        </a:xfrm>
        <a:prstGeom prst="rect">
          <a:avLst/>
        </a:prstGeom>
        <a:noFill/>
      </xdr:spPr>
    </xdr:pic>
  </etc:cellImage>
  <etc:cellImage>
    <xdr:pic>
      <xdr:nvPicPr>
        <xdr:cNvPr id="120" name="ID_2D8AB154ACCB45DEB77ADA75BFF00193" descr="core_image_url__exec_download_1841257504"/>
        <xdr:cNvPicPr/>
      </xdr:nvPicPr>
      <xdr:blipFill>
        <a:blip r:embed="rId263"/>
        <a:stretch>
          <a:fillRect/>
        </a:stretch>
      </xdr:blipFill>
      <xdr:spPr>
        <a:xfrm>
          <a:off x="0" y="0"/>
          <a:ext cx="914400" cy="1009650"/>
        </a:xfrm>
        <a:prstGeom prst="rect">
          <a:avLst/>
        </a:prstGeom>
      </xdr:spPr>
    </xdr:pic>
  </etc:cellImage>
  <etc:cellImage>
    <xdr:pic>
      <xdr:nvPicPr>
        <xdr:cNvPr id="121" name="ID_D8A7FD34744F4E96956053E41D2DF417" descr="core_image_url__exec_download_1654418651"/>
        <xdr:cNvPicPr/>
      </xdr:nvPicPr>
      <xdr:blipFill>
        <a:blip r:embed="rId264"/>
        <a:stretch>
          <a:fillRect/>
        </a:stretch>
      </xdr:blipFill>
      <xdr:spPr>
        <a:xfrm>
          <a:off x="0" y="0"/>
          <a:ext cx="2000250" cy="723900"/>
        </a:xfrm>
        <a:prstGeom prst="rect">
          <a:avLst/>
        </a:prstGeom>
      </xdr:spPr>
    </xdr:pic>
  </etc:cellImage>
  <etc:cellImage>
    <xdr:pic>
      <xdr:nvPicPr>
        <xdr:cNvPr id="286" name="ID_239AC3B41F8F4C11A6FD40E84F0375BC" descr="360"/>
        <xdr:cNvPicPr/>
      </xdr:nvPicPr>
      <xdr:blipFill>
        <a:blip r:embed="rId265"/>
        <a:srcRect/>
        <a:stretch>
          <a:fillRect/>
        </a:stretch>
      </xdr:blipFill>
      <xdr:spPr>
        <a:xfrm>
          <a:off x="2006600" y="110202980"/>
          <a:ext cx="681355" cy="375285"/>
        </a:xfrm>
        <a:prstGeom prst="rect">
          <a:avLst/>
        </a:prstGeom>
        <a:noFill/>
      </xdr:spPr>
    </xdr:pic>
  </etc:cellImage>
  <etc:cellImage>
    <xdr:pic>
      <xdr:nvPicPr>
        <xdr:cNvPr id="116" name="ID_7C3A2A49317D401FA99A3B338B2AB15A" descr="core_image_url__exec_download_3634733830"/>
        <xdr:cNvPicPr/>
      </xdr:nvPicPr>
      <xdr:blipFill>
        <a:blip r:embed="rId266"/>
        <a:stretch>
          <a:fillRect/>
        </a:stretch>
      </xdr:blipFill>
      <xdr:spPr>
        <a:xfrm>
          <a:off x="0" y="0"/>
          <a:ext cx="533400" cy="152400"/>
        </a:xfrm>
        <a:prstGeom prst="rect">
          <a:avLst/>
        </a:prstGeom>
      </xdr:spPr>
    </xdr:pic>
  </etc:cellImage>
  <etc:cellImage>
    <xdr:pic>
      <xdr:nvPicPr>
        <xdr:cNvPr id="139" name="ID_7D9E357816E74FCA8B5E904E97E2756D" descr="core_image_url__exec_download_3496329061"/>
        <xdr:cNvPicPr/>
      </xdr:nvPicPr>
      <xdr:blipFill>
        <a:blip r:embed="rId267"/>
        <a:stretch>
          <a:fillRect/>
        </a:stretch>
      </xdr:blipFill>
      <xdr:spPr>
        <a:xfrm>
          <a:off x="0" y="0"/>
          <a:ext cx="666750" cy="685800"/>
        </a:xfrm>
        <a:prstGeom prst="rect">
          <a:avLst/>
        </a:prstGeom>
      </xdr:spPr>
    </xdr:pic>
  </etc:cellImage>
  <etc:cellImage>
    <xdr:pic>
      <xdr:nvPicPr>
        <xdr:cNvPr id="113" name="ID_63391A5C5FF1459CB2BD0DB0275EFD20" descr="core_image_url__exec_download_175247228"/>
        <xdr:cNvPicPr/>
      </xdr:nvPicPr>
      <xdr:blipFill>
        <a:blip r:embed="rId268"/>
        <a:stretch>
          <a:fillRect/>
        </a:stretch>
      </xdr:blipFill>
      <xdr:spPr>
        <a:xfrm>
          <a:off x="0" y="0"/>
          <a:ext cx="358140" cy="304800"/>
        </a:xfrm>
        <a:prstGeom prst="rect">
          <a:avLst/>
        </a:prstGeom>
      </xdr:spPr>
    </xdr:pic>
  </etc:cellImage>
  <etc:cellImage>
    <xdr:pic>
      <xdr:nvPicPr>
        <xdr:cNvPr id="47" name="ID_BEF8C417B74B476B820DF9A0A7E57A2D" descr="core_image_url__exec_download_834873845"/>
        <xdr:cNvPicPr/>
      </xdr:nvPicPr>
      <xdr:blipFill>
        <a:blip r:embed="rId269"/>
        <a:stretch>
          <a:fillRect/>
        </a:stretch>
      </xdr:blipFill>
      <xdr:spPr>
        <a:xfrm>
          <a:off x="0" y="0"/>
          <a:ext cx="1838325" cy="1019175"/>
        </a:xfrm>
        <a:prstGeom prst="rect">
          <a:avLst/>
        </a:prstGeom>
      </xdr:spPr>
    </xdr:pic>
  </etc:cellImage>
  <etc:cellImage>
    <xdr:pic>
      <xdr:nvPicPr>
        <xdr:cNvPr id="545" name="ID_B853401B93AD4093B51C8039C6885BF5" descr="242"/>
        <xdr:cNvPicPr/>
      </xdr:nvPicPr>
      <xdr:blipFill>
        <a:blip r:embed="rId270"/>
        <a:srcRect/>
        <a:stretch>
          <a:fillRect/>
        </a:stretch>
      </xdr:blipFill>
      <xdr:spPr>
        <a:xfrm>
          <a:off x="1783715" y="197399275"/>
          <a:ext cx="999490" cy="284480"/>
        </a:xfrm>
        <a:prstGeom prst="rect">
          <a:avLst/>
        </a:prstGeom>
        <a:noFill/>
      </xdr:spPr>
    </xdr:pic>
  </etc:cellImage>
  <etc:cellImage>
    <xdr:pic>
      <xdr:nvPicPr>
        <xdr:cNvPr id="313" name="ID_D8970659829D4359BC77705CA6B7A870" descr="core_image_url__exec_download_4113814441"/>
        <xdr:cNvPicPr/>
      </xdr:nvPicPr>
      <xdr:blipFill>
        <a:blip r:embed="rId271"/>
        <a:stretch>
          <a:fillRect/>
        </a:stretch>
      </xdr:blipFill>
      <xdr:spPr>
        <a:xfrm>
          <a:off x="0" y="0"/>
          <a:ext cx="2066925" cy="1085850"/>
        </a:xfrm>
        <a:prstGeom prst="rect">
          <a:avLst/>
        </a:prstGeom>
      </xdr:spPr>
    </xdr:pic>
  </etc:cellImage>
  <etc:cellImage>
    <xdr:pic>
      <xdr:nvPicPr>
        <xdr:cNvPr id="123" name="ID_95D0758A4B0A47799A57A7325837358E" descr="core_image_url__exec_download_339539480"/>
        <xdr:cNvPicPr/>
      </xdr:nvPicPr>
      <xdr:blipFill>
        <a:blip r:embed="rId272"/>
        <a:stretch>
          <a:fillRect/>
        </a:stretch>
      </xdr:blipFill>
      <xdr:spPr>
        <a:xfrm>
          <a:off x="0" y="0"/>
          <a:ext cx="441960" cy="259080"/>
        </a:xfrm>
        <a:prstGeom prst="rect">
          <a:avLst/>
        </a:prstGeom>
      </xdr:spPr>
    </xdr:pic>
  </etc:cellImage>
  <etc:cellImage>
    <xdr:pic>
      <xdr:nvPicPr>
        <xdr:cNvPr id="382" name="ID_2074B5A9EE704989B56D7D01F469B870" descr="522"/>
        <xdr:cNvPicPr/>
      </xdr:nvPicPr>
      <xdr:blipFill>
        <a:blip r:embed="rId273"/>
        <a:srcRect/>
        <a:stretch>
          <a:fillRect/>
        </a:stretch>
      </xdr:blipFill>
      <xdr:spPr>
        <a:xfrm>
          <a:off x="1771015" y="45043090"/>
          <a:ext cx="696595" cy="213995"/>
        </a:xfrm>
        <a:prstGeom prst="rect">
          <a:avLst/>
        </a:prstGeom>
        <a:noFill/>
      </xdr:spPr>
    </xdr:pic>
  </etc:cellImage>
  <etc:cellImage>
    <xdr:pic>
      <xdr:nvPicPr>
        <xdr:cNvPr id="365" name="ID_3841FDAF4D7842F284ACD40DD7D2BA11" descr="370"/>
        <xdr:cNvPicPr/>
      </xdr:nvPicPr>
      <xdr:blipFill>
        <a:blip r:embed="rId274"/>
        <a:srcRect/>
        <a:stretch>
          <a:fillRect/>
        </a:stretch>
      </xdr:blipFill>
      <xdr:spPr>
        <a:xfrm>
          <a:off x="1790065" y="141760575"/>
          <a:ext cx="561340" cy="324485"/>
        </a:xfrm>
        <a:prstGeom prst="rect">
          <a:avLst/>
        </a:prstGeom>
        <a:noFill/>
      </xdr:spPr>
    </xdr:pic>
  </etc:cellImage>
  <etc:cellImage>
    <xdr:pic>
      <xdr:nvPicPr>
        <xdr:cNvPr id="337" name="ID_9DB0D6C96E484C8DAF3D0BF66259378B" descr="423"/>
        <xdr:cNvPicPr/>
      </xdr:nvPicPr>
      <xdr:blipFill>
        <a:blip r:embed="rId275"/>
        <a:srcRect/>
        <a:stretch>
          <a:fillRect/>
        </a:stretch>
      </xdr:blipFill>
      <xdr:spPr>
        <a:xfrm>
          <a:off x="1746250" y="135636000"/>
          <a:ext cx="628650" cy="389255"/>
        </a:xfrm>
        <a:prstGeom prst="rect">
          <a:avLst/>
        </a:prstGeom>
        <a:noFill/>
      </xdr:spPr>
    </xdr:pic>
  </etc:cellImage>
  <etc:cellImage>
    <xdr:pic>
      <xdr:nvPicPr>
        <xdr:cNvPr id="553" name="ID_E52DEDA1D4B549759CE92841905715D8" descr="23"/>
        <xdr:cNvPicPr/>
      </xdr:nvPicPr>
      <xdr:blipFill>
        <a:blip r:embed="rId276"/>
        <a:srcRect/>
        <a:stretch>
          <a:fillRect/>
        </a:stretch>
      </xdr:blipFill>
      <xdr:spPr>
        <a:xfrm>
          <a:off x="1805305" y="200425685"/>
          <a:ext cx="222250" cy="329565"/>
        </a:xfrm>
        <a:prstGeom prst="rect">
          <a:avLst/>
        </a:prstGeom>
        <a:noFill/>
      </xdr:spPr>
    </xdr:pic>
  </etc:cellImage>
  <etc:cellImage>
    <xdr:pic>
      <xdr:nvPicPr>
        <xdr:cNvPr id="446" name="ID_E0BA3FD77C374CDE9F67189EC9A870F6" descr="130"/>
        <xdr:cNvPicPr/>
      </xdr:nvPicPr>
      <xdr:blipFill>
        <a:blip r:embed="rId277"/>
        <a:srcRect/>
        <a:stretch>
          <a:fillRect/>
        </a:stretch>
      </xdr:blipFill>
      <xdr:spPr>
        <a:xfrm>
          <a:off x="1814195" y="125395990"/>
          <a:ext cx="665480" cy="235585"/>
        </a:xfrm>
        <a:prstGeom prst="rect">
          <a:avLst/>
        </a:prstGeom>
        <a:noFill/>
      </xdr:spPr>
    </xdr:pic>
  </etc:cellImage>
  <etc:cellImage>
    <xdr:pic>
      <xdr:nvPicPr>
        <xdr:cNvPr id="103" name="ID_53B9C989A1B04F0AAD9E5D30E8005204" descr="core_image_url__exec_download_4045937736"/>
        <xdr:cNvPicPr/>
      </xdr:nvPicPr>
      <xdr:blipFill>
        <a:blip r:embed="rId278"/>
        <a:stretch>
          <a:fillRect/>
        </a:stretch>
      </xdr:blipFill>
      <xdr:spPr>
        <a:xfrm>
          <a:off x="0" y="0"/>
          <a:ext cx="426720" cy="274320"/>
        </a:xfrm>
        <a:prstGeom prst="rect">
          <a:avLst/>
        </a:prstGeom>
      </xdr:spPr>
    </xdr:pic>
  </etc:cellImage>
  <etc:cellImage>
    <xdr:pic>
      <xdr:nvPicPr>
        <xdr:cNvPr id="311" name="ID_A375F8D7C97849D3A1130EC6F870B269" descr="243"/>
        <xdr:cNvPicPr/>
      </xdr:nvPicPr>
      <xdr:blipFill>
        <a:blip r:embed="rId279"/>
        <a:srcRect/>
        <a:stretch>
          <a:fillRect/>
        </a:stretch>
      </xdr:blipFill>
      <xdr:spPr>
        <a:xfrm>
          <a:off x="1843405" y="126512955"/>
          <a:ext cx="654050" cy="290195"/>
        </a:xfrm>
        <a:prstGeom prst="rect">
          <a:avLst/>
        </a:prstGeom>
        <a:noFill/>
      </xdr:spPr>
    </xdr:pic>
  </etc:cellImage>
  <etc:cellImage>
    <xdr:pic>
      <xdr:nvPicPr>
        <xdr:cNvPr id="580" name="ID_48FB6FEA943F46C1BB6C188E067D98D7" descr="core_image_url__exec_download_1696710128"/>
        <xdr:cNvPicPr/>
      </xdr:nvPicPr>
      <xdr:blipFill>
        <a:blip r:embed="rId280"/>
        <a:stretch>
          <a:fillRect/>
        </a:stretch>
      </xdr:blipFill>
      <xdr:spPr>
        <a:xfrm>
          <a:off x="0" y="0"/>
          <a:ext cx="1653540" cy="1516380"/>
        </a:xfrm>
        <a:prstGeom prst="rect">
          <a:avLst/>
        </a:prstGeom>
      </xdr:spPr>
    </xdr:pic>
  </etc:cellImage>
  <etc:cellImage>
    <xdr:pic>
      <xdr:nvPicPr>
        <xdr:cNvPr id="99" name="ID_4D01B89DF7CC445D82B599610DA90F23" descr="core_image_url__exec_download_2672945936"/>
        <xdr:cNvPicPr/>
      </xdr:nvPicPr>
      <xdr:blipFill>
        <a:blip r:embed="rId281"/>
        <a:stretch>
          <a:fillRect/>
        </a:stretch>
      </xdr:blipFill>
      <xdr:spPr>
        <a:xfrm>
          <a:off x="0" y="0"/>
          <a:ext cx="358140" cy="304800"/>
        </a:xfrm>
        <a:prstGeom prst="rect">
          <a:avLst/>
        </a:prstGeom>
      </xdr:spPr>
    </xdr:pic>
  </etc:cellImage>
  <etc:cellImage>
    <xdr:pic>
      <xdr:nvPicPr>
        <xdr:cNvPr id="126" name="ID_99318BBF9A16439B8B4E2684B7D331BC" descr="core_image_url__exec_download_4187034922"/>
        <xdr:cNvPicPr/>
      </xdr:nvPicPr>
      <xdr:blipFill>
        <a:blip r:embed="rId282"/>
        <a:stretch>
          <a:fillRect/>
        </a:stretch>
      </xdr:blipFill>
      <xdr:spPr>
        <a:xfrm>
          <a:off x="0" y="0"/>
          <a:ext cx="2295525" cy="714375"/>
        </a:xfrm>
        <a:prstGeom prst="rect">
          <a:avLst/>
        </a:prstGeom>
      </xdr:spPr>
    </xdr:pic>
  </etc:cellImage>
  <etc:cellImage>
    <xdr:pic>
      <xdr:nvPicPr>
        <xdr:cNvPr id="214" name="ID_8BD824F094BA4A399FFADEB8DA351EA7" descr="528"/>
        <xdr:cNvPicPr/>
      </xdr:nvPicPr>
      <xdr:blipFill>
        <a:blip r:embed="rId283"/>
        <a:srcRect/>
        <a:stretch>
          <a:fillRect/>
        </a:stretch>
      </xdr:blipFill>
      <xdr:spPr>
        <a:xfrm>
          <a:off x="2160270" y="42417365"/>
          <a:ext cx="594360" cy="352425"/>
        </a:xfrm>
        <a:prstGeom prst="rect">
          <a:avLst/>
        </a:prstGeom>
        <a:noFill/>
      </xdr:spPr>
    </xdr:pic>
  </etc:cellImage>
  <etc:cellImage>
    <xdr:pic>
      <xdr:nvPicPr>
        <xdr:cNvPr id="481" name="ID_594D226E15F94117B34A8412EF104B1E" descr="core_image_url__exec_download_776411531"/>
        <xdr:cNvPicPr>
          <a:picLocks noChangeAspect="1"/>
        </xdr:cNvPicPr>
      </xdr:nvPicPr>
      <xdr:blipFill>
        <a:blip r:embed="rId284"/>
        <a:stretch>
          <a:fillRect/>
        </a:stretch>
      </xdr:blipFill>
      <xdr:spPr>
        <a:xfrm>
          <a:off x="2124075" y="136033510"/>
          <a:ext cx="406400" cy="358775"/>
        </a:xfrm>
        <a:prstGeom prst="rect">
          <a:avLst/>
        </a:prstGeom>
      </xdr:spPr>
    </xdr:pic>
  </etc:cellImage>
  <etc:cellImage>
    <xdr:pic>
      <xdr:nvPicPr>
        <xdr:cNvPr id="104" name="ID_095667990E964A758CD8AC0961938E43" descr="core_image_url__exec_download_1473492594"/>
        <xdr:cNvPicPr/>
      </xdr:nvPicPr>
      <xdr:blipFill>
        <a:blip r:embed="rId285"/>
        <a:stretch>
          <a:fillRect/>
        </a:stretch>
      </xdr:blipFill>
      <xdr:spPr>
        <a:xfrm>
          <a:off x="0" y="0"/>
          <a:ext cx="289560" cy="327660"/>
        </a:xfrm>
        <a:prstGeom prst="rect">
          <a:avLst/>
        </a:prstGeom>
      </xdr:spPr>
    </xdr:pic>
  </etc:cellImage>
  <etc:cellImage>
    <xdr:pic>
      <xdr:nvPicPr>
        <xdr:cNvPr id="115" name="ID_EA066258FBDF4940A1A0CB29D1B7BD8F" descr="core_image_url__exec_download_3288379787"/>
        <xdr:cNvPicPr/>
      </xdr:nvPicPr>
      <xdr:blipFill>
        <a:blip r:embed="rId286"/>
        <a:stretch>
          <a:fillRect/>
        </a:stretch>
      </xdr:blipFill>
      <xdr:spPr>
        <a:xfrm>
          <a:off x="0" y="0"/>
          <a:ext cx="555625" cy="144780"/>
        </a:xfrm>
        <a:prstGeom prst="rect">
          <a:avLst/>
        </a:prstGeom>
      </xdr:spPr>
    </xdr:pic>
  </etc:cellImage>
  <etc:cellImage>
    <xdr:pic>
      <xdr:nvPicPr>
        <xdr:cNvPr id="516" name="ID_040ACC0FBEE1486B9E4BE54FD68D2C86" descr="110"/>
        <xdr:cNvPicPr/>
      </xdr:nvPicPr>
      <xdr:blipFill>
        <a:blip r:embed="rId287"/>
        <a:srcRect/>
        <a:stretch>
          <a:fillRect/>
        </a:stretch>
      </xdr:blipFill>
      <xdr:spPr>
        <a:xfrm>
          <a:off x="1778635" y="183283225"/>
          <a:ext cx="597535" cy="330835"/>
        </a:xfrm>
        <a:prstGeom prst="rect">
          <a:avLst/>
        </a:prstGeom>
        <a:noFill/>
      </xdr:spPr>
    </xdr:pic>
  </etc:cellImage>
  <etc:cellImage>
    <xdr:pic>
      <xdr:nvPicPr>
        <xdr:cNvPr id="377" name="ID_62E0CC7521714FF6947DC1CFFFC67F37" descr="37"/>
        <xdr:cNvPicPr/>
      </xdr:nvPicPr>
      <xdr:blipFill>
        <a:blip r:embed="rId288"/>
        <a:srcRect/>
        <a:stretch>
          <a:fillRect/>
        </a:stretch>
      </xdr:blipFill>
      <xdr:spPr>
        <a:xfrm>
          <a:off x="1793240" y="145188940"/>
          <a:ext cx="382270" cy="337820"/>
        </a:xfrm>
        <a:prstGeom prst="rect">
          <a:avLst/>
        </a:prstGeom>
        <a:noFill/>
      </xdr:spPr>
    </xdr:pic>
  </etc:cellImage>
  <etc:cellImage>
    <xdr:pic>
      <xdr:nvPicPr>
        <xdr:cNvPr id="6" name="ID_EE4FA053769D4E8D9307DED3CFE8F07A" descr="core_image_url__exec_download_334267944"/>
        <xdr:cNvPicPr/>
      </xdr:nvPicPr>
      <xdr:blipFill>
        <a:blip r:embed="rId289"/>
        <a:stretch>
          <a:fillRect/>
        </a:stretch>
      </xdr:blipFill>
      <xdr:spPr>
        <a:xfrm>
          <a:off x="0" y="0"/>
          <a:ext cx="2819400" cy="1962150"/>
        </a:xfrm>
        <a:prstGeom prst="rect">
          <a:avLst/>
        </a:prstGeom>
      </xdr:spPr>
    </xdr:pic>
  </etc:cellImage>
  <etc:cellImage>
    <xdr:pic>
      <xdr:nvPicPr>
        <xdr:cNvPr id="381" name="ID_A0DF4347B24F4FF0BCE4F3740D143125" descr="43"/>
        <xdr:cNvPicPr/>
      </xdr:nvPicPr>
      <xdr:blipFill>
        <a:blip r:embed="rId290"/>
        <a:srcRect/>
        <a:stretch>
          <a:fillRect/>
        </a:stretch>
      </xdr:blipFill>
      <xdr:spPr>
        <a:xfrm>
          <a:off x="1764665" y="147485100"/>
          <a:ext cx="553085" cy="278130"/>
        </a:xfrm>
        <a:prstGeom prst="rect">
          <a:avLst/>
        </a:prstGeom>
        <a:noFill/>
      </xdr:spPr>
    </xdr:pic>
  </etc:cellImage>
  <etc:cellImage>
    <xdr:pic>
      <xdr:nvPicPr>
        <xdr:cNvPr id="267" name="ID_8C43C679E8E64623B48B0FFFD5DDB9A6" descr="221"/>
        <xdr:cNvPicPr/>
      </xdr:nvPicPr>
      <xdr:blipFill>
        <a:blip r:embed="rId291"/>
        <a:srcRect/>
        <a:stretch>
          <a:fillRect/>
        </a:stretch>
      </xdr:blipFill>
      <xdr:spPr>
        <a:xfrm>
          <a:off x="1852295" y="101810185"/>
          <a:ext cx="612775" cy="379095"/>
        </a:xfrm>
        <a:prstGeom prst="rect">
          <a:avLst/>
        </a:prstGeom>
        <a:noFill/>
      </xdr:spPr>
    </xdr:pic>
  </etc:cellImage>
  <etc:cellImage>
    <xdr:pic>
      <xdr:nvPicPr>
        <xdr:cNvPr id="85" name="ID_524ACC8822084E40A79F8330CBE7940F" descr="core_image_url__exec_download_1470102016"/>
        <xdr:cNvPicPr/>
      </xdr:nvPicPr>
      <xdr:blipFill>
        <a:blip r:embed="rId292"/>
        <a:stretch>
          <a:fillRect/>
        </a:stretch>
      </xdr:blipFill>
      <xdr:spPr>
        <a:xfrm>
          <a:off x="0" y="0"/>
          <a:ext cx="563880" cy="327660"/>
        </a:xfrm>
        <a:prstGeom prst="rect">
          <a:avLst/>
        </a:prstGeom>
      </xdr:spPr>
    </xdr:pic>
  </etc:cellImage>
  <etc:cellImage>
    <xdr:pic>
      <xdr:nvPicPr>
        <xdr:cNvPr id="169" name="ID_9745C623B4894EB9ACBE9086E73954B8" descr="541"/>
        <xdr:cNvPicPr/>
      </xdr:nvPicPr>
      <xdr:blipFill>
        <a:blip r:embed="rId293"/>
        <a:srcRect/>
        <a:stretch>
          <a:fillRect/>
        </a:stretch>
      </xdr:blipFill>
      <xdr:spPr>
        <a:xfrm>
          <a:off x="1925320" y="48182530"/>
          <a:ext cx="893445" cy="302260"/>
        </a:xfrm>
        <a:prstGeom prst="rect">
          <a:avLst/>
        </a:prstGeom>
        <a:noFill/>
      </xdr:spPr>
    </xdr:pic>
  </etc:cellImage>
  <etc:cellImage>
    <xdr:pic>
      <xdr:nvPicPr>
        <xdr:cNvPr id="407" name="ID_A0CA381506D343AE97E9DA2BB377F79D" descr="330"/>
        <xdr:cNvPicPr/>
      </xdr:nvPicPr>
      <xdr:blipFill>
        <a:blip r:embed="rId146"/>
        <a:srcRect/>
        <a:stretch>
          <a:fillRect/>
        </a:stretch>
      </xdr:blipFill>
      <xdr:spPr>
        <a:xfrm>
          <a:off x="1802765" y="150519765"/>
          <a:ext cx="543560" cy="346710"/>
        </a:xfrm>
        <a:prstGeom prst="rect">
          <a:avLst/>
        </a:prstGeom>
        <a:noFill/>
      </xdr:spPr>
    </xdr:pic>
  </etc:cellImage>
  <etc:cellImage>
    <xdr:pic>
      <xdr:nvPicPr>
        <xdr:cNvPr id="440" name="ID_EEFDC8EBAA5F48BDAC427F08FA00D42C" descr="459"/>
        <xdr:cNvPicPr/>
      </xdr:nvPicPr>
      <xdr:blipFill>
        <a:blip r:embed="rId294"/>
        <a:srcRect/>
        <a:stretch>
          <a:fillRect/>
        </a:stretch>
      </xdr:blipFill>
      <xdr:spPr>
        <a:xfrm>
          <a:off x="1746250" y="157353000"/>
          <a:ext cx="362585" cy="321945"/>
        </a:xfrm>
        <a:prstGeom prst="rect">
          <a:avLst/>
        </a:prstGeom>
        <a:noFill/>
      </xdr:spPr>
    </xdr:pic>
  </etc:cellImage>
  <etc:cellImage>
    <xdr:pic>
      <xdr:nvPicPr>
        <xdr:cNvPr id="543" name="ID_08EE33A67AD74C5F9C641D8ED52299C6" descr="485"/>
        <xdr:cNvPicPr/>
      </xdr:nvPicPr>
      <xdr:blipFill>
        <a:blip r:embed="rId295"/>
        <a:srcRect/>
        <a:stretch>
          <a:fillRect/>
        </a:stretch>
      </xdr:blipFill>
      <xdr:spPr>
        <a:xfrm>
          <a:off x="1771650" y="195839080"/>
          <a:ext cx="722630" cy="349250"/>
        </a:xfrm>
        <a:prstGeom prst="rect">
          <a:avLst/>
        </a:prstGeom>
        <a:noFill/>
      </xdr:spPr>
    </xdr:pic>
  </etc:cellImage>
  <etc:cellImage>
    <xdr:pic>
      <xdr:nvPicPr>
        <xdr:cNvPr id="31" name="ID_66198DEC34DD4F838E94814FD282FB62" descr="core_image_url__exec_download_1262392792"/>
        <xdr:cNvPicPr/>
      </xdr:nvPicPr>
      <xdr:blipFill>
        <a:blip r:embed="rId296"/>
        <a:stretch>
          <a:fillRect/>
        </a:stretch>
      </xdr:blipFill>
      <xdr:spPr>
        <a:xfrm>
          <a:off x="0" y="0"/>
          <a:ext cx="1943100" cy="514350"/>
        </a:xfrm>
        <a:prstGeom prst="rect">
          <a:avLst/>
        </a:prstGeom>
      </xdr:spPr>
    </xdr:pic>
  </etc:cellImage>
  <etc:cellImage>
    <xdr:pic>
      <xdr:nvPicPr>
        <xdr:cNvPr id="425" name="ID_81998AEDE0BE4492A6A68E281FFADBC0" descr="327"/>
        <xdr:cNvPicPr/>
      </xdr:nvPicPr>
      <xdr:blipFill>
        <a:blip r:embed="rId146"/>
        <a:srcRect/>
        <a:stretch>
          <a:fillRect/>
        </a:stretch>
      </xdr:blipFill>
      <xdr:spPr>
        <a:xfrm>
          <a:off x="1812290" y="155129230"/>
          <a:ext cx="464820" cy="296545"/>
        </a:xfrm>
        <a:prstGeom prst="rect">
          <a:avLst/>
        </a:prstGeom>
        <a:noFill/>
      </xdr:spPr>
    </xdr:pic>
  </etc:cellImage>
  <etc:cellImage>
    <xdr:pic>
      <xdr:nvPicPr>
        <xdr:cNvPr id="256" name="ID_08A5280569E447AD87E4C84AA036740F" descr="core_image_url__exec_download_1241849255"/>
        <xdr:cNvPicPr/>
      </xdr:nvPicPr>
      <xdr:blipFill>
        <a:blip r:embed="rId297"/>
        <a:stretch>
          <a:fillRect/>
        </a:stretch>
      </xdr:blipFill>
      <xdr:spPr>
        <a:xfrm>
          <a:off x="0" y="0"/>
          <a:ext cx="3038475" cy="495300"/>
        </a:xfrm>
        <a:prstGeom prst="rect">
          <a:avLst/>
        </a:prstGeom>
      </xdr:spPr>
    </xdr:pic>
  </etc:cellImage>
  <etc:cellImage>
    <xdr:pic>
      <xdr:nvPicPr>
        <xdr:cNvPr id="395" name="ID_EF81BFB20BF94D258E457880D0856F68" descr="core_image_url__exec_download_4210919"/>
        <xdr:cNvPicPr/>
      </xdr:nvPicPr>
      <xdr:blipFill>
        <a:blip r:embed="rId298"/>
        <a:stretch>
          <a:fillRect/>
        </a:stretch>
      </xdr:blipFill>
      <xdr:spPr>
        <a:xfrm>
          <a:off x="0" y="0"/>
          <a:ext cx="617220" cy="449580"/>
        </a:xfrm>
        <a:prstGeom prst="rect">
          <a:avLst/>
        </a:prstGeom>
      </xdr:spPr>
    </xdr:pic>
  </etc:cellImage>
  <etc:cellImage>
    <xdr:pic>
      <xdr:nvPicPr>
        <xdr:cNvPr id="142" name="ID_1FEF8D26A953450BA1DD06745C1DD370" descr="core_image_url__exec_download_2938386142"/>
        <xdr:cNvPicPr/>
      </xdr:nvPicPr>
      <xdr:blipFill>
        <a:blip r:embed="rId299"/>
        <a:stretch>
          <a:fillRect/>
        </a:stretch>
      </xdr:blipFill>
      <xdr:spPr>
        <a:xfrm>
          <a:off x="0" y="0"/>
          <a:ext cx="2990850" cy="1752600"/>
        </a:xfrm>
        <a:prstGeom prst="rect">
          <a:avLst/>
        </a:prstGeom>
      </xdr:spPr>
    </xdr:pic>
  </etc:cellImage>
  <etc:cellImage>
    <xdr:pic>
      <xdr:nvPicPr>
        <xdr:cNvPr id="617" name="ID_00F15261517147518110FCE530917446" descr="8"/>
        <xdr:cNvPicPr/>
      </xdr:nvPicPr>
      <xdr:blipFill>
        <a:blip r:embed="rId300"/>
        <a:srcRect/>
        <a:stretch>
          <a:fillRect/>
        </a:stretch>
      </xdr:blipFill>
      <xdr:spPr>
        <a:xfrm>
          <a:off x="1750060" y="232800525"/>
          <a:ext cx="703580" cy="351790"/>
        </a:xfrm>
        <a:prstGeom prst="rect">
          <a:avLst/>
        </a:prstGeom>
        <a:noFill/>
      </xdr:spPr>
    </xdr:pic>
  </etc:cellImage>
  <etc:cellImage>
    <xdr:pic>
      <xdr:nvPicPr>
        <xdr:cNvPr id="424" name="ID_A9638AA16FA44B28A824B4CE80EE8F9E" descr="218"/>
        <xdr:cNvPicPr/>
      </xdr:nvPicPr>
      <xdr:blipFill>
        <a:blip r:embed="rId301"/>
        <a:srcRect/>
        <a:stretch>
          <a:fillRect/>
        </a:stretch>
      </xdr:blipFill>
      <xdr:spPr>
        <a:xfrm>
          <a:off x="1800225" y="154703145"/>
          <a:ext cx="699135" cy="332740"/>
        </a:xfrm>
        <a:prstGeom prst="rect">
          <a:avLst/>
        </a:prstGeom>
        <a:noFill/>
      </xdr:spPr>
    </xdr:pic>
  </etc:cellImage>
  <etc:cellImage>
    <xdr:pic>
      <xdr:nvPicPr>
        <xdr:cNvPr id="61" name="ID_D5C94690A68B4C5CBC8D9A5B44A4E741" descr="core_image_url__exec_download_1160501452"/>
        <xdr:cNvPicPr/>
      </xdr:nvPicPr>
      <xdr:blipFill>
        <a:blip r:embed="rId302"/>
        <a:stretch>
          <a:fillRect/>
        </a:stretch>
      </xdr:blipFill>
      <xdr:spPr>
        <a:xfrm>
          <a:off x="0" y="0"/>
          <a:ext cx="1339850" cy="685800"/>
        </a:xfrm>
        <a:prstGeom prst="rect">
          <a:avLst/>
        </a:prstGeom>
      </xdr:spPr>
    </xdr:pic>
  </etc:cellImage>
  <etc:cellImage>
    <xdr:pic>
      <xdr:nvPicPr>
        <xdr:cNvPr id="432" name="ID_0B4FAC7B75204838BE321E1B0F39133C" descr="413"/>
        <xdr:cNvPicPr/>
      </xdr:nvPicPr>
      <xdr:blipFill>
        <a:blip r:embed="rId303"/>
        <a:srcRect/>
        <a:stretch>
          <a:fillRect/>
        </a:stretch>
      </xdr:blipFill>
      <xdr:spPr>
        <a:xfrm>
          <a:off x="1791335" y="155488005"/>
          <a:ext cx="671195" cy="383540"/>
        </a:xfrm>
        <a:prstGeom prst="rect">
          <a:avLst/>
        </a:prstGeom>
        <a:noFill/>
      </xdr:spPr>
    </xdr:pic>
  </etc:cellImage>
  <etc:cellImage>
    <xdr:pic>
      <xdr:nvPicPr>
        <xdr:cNvPr id="513" name="ID_736FC3FC4A6349EA9BA6F25673C23020" descr="157"/>
        <xdr:cNvPicPr/>
      </xdr:nvPicPr>
      <xdr:blipFill>
        <a:blip r:embed="rId304"/>
        <a:srcRect/>
        <a:stretch>
          <a:fillRect/>
        </a:stretch>
      </xdr:blipFill>
      <xdr:spPr>
        <a:xfrm>
          <a:off x="1751965" y="180227605"/>
          <a:ext cx="580390" cy="338455"/>
        </a:xfrm>
        <a:prstGeom prst="rect">
          <a:avLst/>
        </a:prstGeom>
        <a:noFill/>
      </xdr:spPr>
    </xdr:pic>
  </etc:cellImage>
  <etc:cellImage>
    <xdr:pic>
      <xdr:nvPicPr>
        <xdr:cNvPr id="674" name="ID_F550FD6BCC1A48C09856945C6676AFD4" descr="core_image_url__exec_download_2574748111"/>
        <xdr:cNvPicPr/>
      </xdr:nvPicPr>
      <xdr:blipFill>
        <a:blip r:embed="rId58"/>
        <a:stretch>
          <a:fillRect/>
        </a:stretch>
      </xdr:blipFill>
      <xdr:spPr>
        <a:xfrm>
          <a:off x="0" y="0"/>
          <a:ext cx="5105400" cy="3257550"/>
        </a:xfrm>
        <a:prstGeom prst="rect">
          <a:avLst/>
        </a:prstGeom>
      </xdr:spPr>
    </xdr:pic>
  </etc:cellImage>
  <etc:cellImage>
    <xdr:pic>
      <xdr:nvPicPr>
        <xdr:cNvPr id="412" name="ID_6B372AD9EA724DB99CC0DA298AA727D1" descr="167"/>
        <xdr:cNvPicPr/>
      </xdr:nvPicPr>
      <xdr:blipFill>
        <a:blip r:embed="rId305"/>
        <a:srcRect/>
        <a:stretch>
          <a:fillRect/>
        </a:stretch>
      </xdr:blipFill>
      <xdr:spPr>
        <a:xfrm>
          <a:off x="1804670" y="151331295"/>
          <a:ext cx="354330" cy="407035"/>
        </a:xfrm>
        <a:prstGeom prst="rect">
          <a:avLst/>
        </a:prstGeom>
        <a:noFill/>
      </xdr:spPr>
    </xdr:pic>
  </etc:cellImage>
  <etc:cellImage>
    <xdr:pic>
      <xdr:nvPicPr>
        <xdr:cNvPr id="614" name="ID_AE4BFCD052A448A6B06CC38E74362A9D" descr="333"/>
        <xdr:cNvPicPr/>
      </xdr:nvPicPr>
      <xdr:blipFill>
        <a:blip r:embed="rId306"/>
        <a:srcRect/>
        <a:stretch>
          <a:fillRect/>
        </a:stretch>
      </xdr:blipFill>
      <xdr:spPr>
        <a:xfrm>
          <a:off x="1750060" y="231277160"/>
          <a:ext cx="476885" cy="360045"/>
        </a:xfrm>
        <a:prstGeom prst="rect">
          <a:avLst/>
        </a:prstGeom>
        <a:noFill/>
      </xdr:spPr>
    </xdr:pic>
  </etc:cellImage>
  <etc:cellImage>
    <xdr:pic>
      <xdr:nvPicPr>
        <xdr:cNvPr id="50" name="ID_530F6E4962174D88B2BCE370BB66F985" descr="core_image_url__exec_download_734470314"/>
        <xdr:cNvPicPr/>
      </xdr:nvPicPr>
      <xdr:blipFill>
        <a:blip r:embed="rId307"/>
        <a:stretch>
          <a:fillRect/>
        </a:stretch>
      </xdr:blipFill>
      <xdr:spPr>
        <a:xfrm>
          <a:off x="0" y="0"/>
          <a:ext cx="3810000" cy="3810000"/>
        </a:xfrm>
        <a:prstGeom prst="rect">
          <a:avLst/>
        </a:prstGeom>
      </xdr:spPr>
    </xdr:pic>
  </etc:cellImage>
  <etc:cellImage>
    <xdr:pic>
      <xdr:nvPicPr>
        <xdr:cNvPr id="555" name="ID_3AC13FBB15D6477FBEC7F6C980C73F5C" descr="24"/>
        <xdr:cNvPicPr/>
      </xdr:nvPicPr>
      <xdr:blipFill>
        <a:blip r:embed="rId308"/>
        <a:srcRect/>
        <a:stretch>
          <a:fillRect/>
        </a:stretch>
      </xdr:blipFill>
      <xdr:spPr>
        <a:xfrm>
          <a:off x="1906270" y="200870820"/>
          <a:ext cx="912495" cy="375285"/>
        </a:xfrm>
        <a:prstGeom prst="rect">
          <a:avLst/>
        </a:prstGeom>
        <a:noFill/>
      </xdr:spPr>
    </xdr:pic>
  </etc:cellImage>
  <etc:cellImage>
    <xdr:pic>
      <xdr:nvPicPr>
        <xdr:cNvPr id="568" name="ID_FCC64FE8DBDC47AF81F692052AF925FB" descr="487"/>
        <xdr:cNvPicPr/>
      </xdr:nvPicPr>
      <xdr:blipFill>
        <a:blip r:embed="rId309"/>
        <a:srcRect/>
        <a:stretch>
          <a:fillRect/>
        </a:stretch>
      </xdr:blipFill>
      <xdr:spPr>
        <a:xfrm>
          <a:off x="1814195" y="210329780"/>
          <a:ext cx="476250" cy="372745"/>
        </a:xfrm>
        <a:prstGeom prst="rect">
          <a:avLst/>
        </a:prstGeom>
        <a:noFill/>
      </xdr:spPr>
    </xdr:pic>
  </etc:cellImage>
  <etc:cellImage>
    <xdr:pic>
      <xdr:nvPicPr>
        <xdr:cNvPr id="408" name="ID_467164E0E6E24CB895FBECB1C116D9BE" descr="426"/>
        <xdr:cNvPicPr/>
      </xdr:nvPicPr>
      <xdr:blipFill>
        <a:blip r:embed="rId310"/>
        <a:srcRect/>
        <a:stretch>
          <a:fillRect/>
        </a:stretch>
      </xdr:blipFill>
      <xdr:spPr>
        <a:xfrm>
          <a:off x="1771650" y="131071620"/>
          <a:ext cx="388620" cy="347980"/>
        </a:xfrm>
        <a:prstGeom prst="rect">
          <a:avLst/>
        </a:prstGeom>
        <a:noFill/>
      </xdr:spPr>
    </xdr:pic>
  </etc:cellImage>
  <etc:cellImage>
    <xdr:pic>
      <xdr:nvPicPr>
        <xdr:cNvPr id="305" name="ID_A3CD0D867CD84E59A649C8E6A8446131" descr="core_image_url__exec_download_2121238101"/>
        <xdr:cNvPicPr/>
      </xdr:nvPicPr>
      <xdr:blipFill>
        <a:blip r:embed="rId311"/>
        <a:stretch>
          <a:fillRect/>
        </a:stretch>
      </xdr:blipFill>
      <xdr:spPr>
        <a:xfrm>
          <a:off x="0" y="0"/>
          <a:ext cx="1219200" cy="1181100"/>
        </a:xfrm>
        <a:prstGeom prst="rect">
          <a:avLst/>
        </a:prstGeom>
      </xdr:spPr>
    </xdr:pic>
  </etc:cellImage>
  <etc:cellImage>
    <xdr:pic>
      <xdr:nvPicPr>
        <xdr:cNvPr id="265" name="ID_85F8856E664C40EF9BBBE2B4F9C70666" descr="135"/>
        <xdr:cNvPicPr/>
      </xdr:nvPicPr>
      <xdr:blipFill>
        <a:blip r:embed="rId312"/>
        <a:srcRect/>
        <a:stretch>
          <a:fillRect/>
        </a:stretch>
      </xdr:blipFill>
      <xdr:spPr>
        <a:xfrm>
          <a:off x="1755775" y="101016435"/>
          <a:ext cx="838200" cy="342900"/>
        </a:xfrm>
        <a:prstGeom prst="rect">
          <a:avLst/>
        </a:prstGeom>
        <a:noFill/>
      </xdr:spPr>
    </xdr:pic>
  </etc:cellImage>
  <etc:cellImage>
    <xdr:pic>
      <xdr:nvPicPr>
        <xdr:cNvPr id="497" name="ID_233F74F4C78A4DBABA4A428D91453ECE" descr="131"/>
        <xdr:cNvPicPr/>
      </xdr:nvPicPr>
      <xdr:blipFill>
        <a:blip r:embed="rId313"/>
        <a:srcRect/>
        <a:stretch>
          <a:fillRect/>
        </a:stretch>
      </xdr:blipFill>
      <xdr:spPr>
        <a:xfrm>
          <a:off x="1972945" y="172756195"/>
          <a:ext cx="560070" cy="369570"/>
        </a:xfrm>
        <a:prstGeom prst="rect">
          <a:avLst/>
        </a:prstGeom>
        <a:noFill/>
      </xdr:spPr>
    </xdr:pic>
  </etc:cellImage>
  <etc:cellImage>
    <xdr:pic>
      <xdr:nvPicPr>
        <xdr:cNvPr id="468" name="ID_3659B7DAF09A4AC3A827381F27AA47F9" descr="516"/>
        <xdr:cNvPicPr/>
      </xdr:nvPicPr>
      <xdr:blipFill>
        <a:blip r:embed="rId314"/>
        <a:srcRect/>
        <a:stretch>
          <a:fillRect/>
        </a:stretch>
      </xdr:blipFill>
      <xdr:spPr>
        <a:xfrm>
          <a:off x="1746250" y="163068000"/>
          <a:ext cx="427990" cy="363855"/>
        </a:xfrm>
        <a:prstGeom prst="rect">
          <a:avLst/>
        </a:prstGeom>
        <a:noFill/>
      </xdr:spPr>
    </xdr:pic>
  </etc:cellImage>
  <etc:cellImage>
    <xdr:pic>
      <xdr:nvPicPr>
        <xdr:cNvPr id="58" name="ID_D97D383D22D6487FA34CF897EADBF748" descr="core_image_url__exec_download_2107703432"/>
        <xdr:cNvPicPr/>
      </xdr:nvPicPr>
      <xdr:blipFill>
        <a:blip r:embed="rId315"/>
        <a:stretch>
          <a:fillRect/>
        </a:stretch>
      </xdr:blipFill>
      <xdr:spPr>
        <a:xfrm>
          <a:off x="0" y="0"/>
          <a:ext cx="1074420" cy="701040"/>
        </a:xfrm>
        <a:prstGeom prst="rect">
          <a:avLst/>
        </a:prstGeom>
      </xdr:spPr>
    </xdr:pic>
  </etc:cellImage>
  <etc:cellImage>
    <xdr:pic>
      <xdr:nvPicPr>
        <xdr:cNvPr id="664" name="ID_5B8E93DEC0254A71AA1F972AF8461C0D" descr="core_image_url__exec_download_2540026444"/>
        <xdr:cNvPicPr/>
      </xdr:nvPicPr>
      <xdr:blipFill>
        <a:blip r:embed="rId316"/>
        <a:stretch>
          <a:fillRect/>
        </a:stretch>
      </xdr:blipFill>
      <xdr:spPr>
        <a:xfrm>
          <a:off x="0" y="0"/>
          <a:ext cx="1371600" cy="971550"/>
        </a:xfrm>
        <a:prstGeom prst="rect">
          <a:avLst/>
        </a:prstGeom>
      </xdr:spPr>
    </xdr:pic>
  </etc:cellImage>
  <etc:cellImage>
    <xdr:pic>
      <xdr:nvPicPr>
        <xdr:cNvPr id="647" name="ID_620CFD1B2B9C42D68FEFE288B5C7A68F" descr="219"/>
        <xdr:cNvPicPr/>
      </xdr:nvPicPr>
      <xdr:blipFill>
        <a:blip r:embed="rId317"/>
        <a:srcRect/>
        <a:stretch>
          <a:fillRect/>
        </a:stretch>
      </xdr:blipFill>
      <xdr:spPr>
        <a:xfrm>
          <a:off x="1750060" y="245746905"/>
          <a:ext cx="558800" cy="353695"/>
        </a:xfrm>
        <a:prstGeom prst="rect">
          <a:avLst/>
        </a:prstGeom>
        <a:noFill/>
      </xdr:spPr>
    </xdr:pic>
  </etc:cellImage>
  <etc:cellImage>
    <xdr:pic>
      <xdr:nvPicPr>
        <xdr:cNvPr id="297" name="ID_06F674CB1F474985847853D8B684726C" descr="58"/>
        <xdr:cNvPicPr/>
      </xdr:nvPicPr>
      <xdr:blipFill>
        <a:blip r:embed="rId77"/>
        <a:srcRect/>
        <a:stretch>
          <a:fillRect/>
        </a:stretch>
      </xdr:blipFill>
      <xdr:spPr>
        <a:xfrm>
          <a:off x="2025015" y="113603405"/>
          <a:ext cx="673100" cy="373380"/>
        </a:xfrm>
        <a:prstGeom prst="rect">
          <a:avLst/>
        </a:prstGeom>
        <a:noFill/>
      </xdr:spPr>
    </xdr:pic>
  </etc:cellImage>
  <etc:cellImage>
    <xdr:pic>
      <xdr:nvPicPr>
        <xdr:cNvPr id="124" name="ID_B3089AF27C2F46A4936C1E6FFBE505D5" descr="core_image_url__exec_download_66269313"/>
        <xdr:cNvPicPr/>
      </xdr:nvPicPr>
      <xdr:blipFill>
        <a:blip r:embed="rId318"/>
        <a:stretch>
          <a:fillRect/>
        </a:stretch>
      </xdr:blipFill>
      <xdr:spPr>
        <a:xfrm>
          <a:off x="0" y="0"/>
          <a:ext cx="1143000" cy="723900"/>
        </a:xfrm>
        <a:prstGeom prst="rect">
          <a:avLst/>
        </a:prstGeom>
      </xdr:spPr>
    </xdr:pic>
  </etc:cellImage>
  <etc:cellImage>
    <xdr:pic>
      <xdr:nvPicPr>
        <xdr:cNvPr id="245" name="ID_15A3A142271841D888FECF2DD53B0907" descr="345"/>
        <xdr:cNvPicPr/>
      </xdr:nvPicPr>
      <xdr:blipFill>
        <a:blip r:embed="rId319"/>
        <a:srcRect/>
        <a:stretch>
          <a:fillRect/>
        </a:stretch>
      </xdr:blipFill>
      <xdr:spPr>
        <a:xfrm>
          <a:off x="1757045" y="93736160"/>
          <a:ext cx="488950" cy="345440"/>
        </a:xfrm>
        <a:prstGeom prst="rect">
          <a:avLst/>
        </a:prstGeom>
        <a:noFill/>
      </xdr:spPr>
    </xdr:pic>
  </etc:cellImage>
  <etc:cellImage>
    <xdr:pic>
      <xdr:nvPicPr>
        <xdr:cNvPr id="76" name="ID_09F266416D0E4E97B94016AFE7D6286F" descr="core_image_url__exec_download_1410930831"/>
        <xdr:cNvPicPr/>
      </xdr:nvPicPr>
      <xdr:blipFill>
        <a:blip r:embed="rId320"/>
        <a:stretch>
          <a:fillRect/>
        </a:stretch>
      </xdr:blipFill>
      <xdr:spPr>
        <a:xfrm>
          <a:off x="0" y="0"/>
          <a:ext cx="639445" cy="259080"/>
        </a:xfrm>
        <a:prstGeom prst="rect">
          <a:avLst/>
        </a:prstGeom>
      </xdr:spPr>
    </xdr:pic>
  </etc:cellImage>
  <etc:cellImage>
    <xdr:pic>
      <xdr:nvPicPr>
        <xdr:cNvPr id="430" name="ID_5ACED97DF9304FB7B048D54A552FA74A" descr="core_image_url__exec_download_639483591"/>
        <xdr:cNvPicPr/>
      </xdr:nvPicPr>
      <xdr:blipFill>
        <a:blip r:embed="rId321"/>
        <a:stretch>
          <a:fillRect/>
        </a:stretch>
      </xdr:blipFill>
      <xdr:spPr>
        <a:xfrm>
          <a:off x="0" y="0"/>
          <a:ext cx="2101850" cy="844550"/>
        </a:xfrm>
        <a:prstGeom prst="rect">
          <a:avLst/>
        </a:prstGeom>
      </xdr:spPr>
    </xdr:pic>
  </etc:cellImage>
  <etc:cellImage>
    <xdr:pic>
      <xdr:nvPicPr>
        <xdr:cNvPr id="456" name="ID_4E257C9205654EB987976A259CC8F8BF" descr="331"/>
        <xdr:cNvPicPr/>
      </xdr:nvPicPr>
      <xdr:blipFill>
        <a:blip r:embed="rId322"/>
        <a:srcRect/>
        <a:stretch>
          <a:fillRect/>
        </a:stretch>
      </xdr:blipFill>
      <xdr:spPr>
        <a:xfrm>
          <a:off x="1793240" y="150947755"/>
          <a:ext cx="598805" cy="292100"/>
        </a:xfrm>
        <a:prstGeom prst="rect">
          <a:avLst/>
        </a:prstGeom>
        <a:noFill/>
      </xdr:spPr>
    </xdr:pic>
  </etc:cellImage>
  <etc:cellImage>
    <xdr:pic>
      <xdr:nvPicPr>
        <xdr:cNvPr id="21" name="ID_8102574619A444DCBB3D22680D510ED4" descr="core_image_url__exec_download_1278651726"/>
        <xdr:cNvPicPr/>
      </xdr:nvPicPr>
      <xdr:blipFill>
        <a:blip r:embed="rId323"/>
        <a:stretch>
          <a:fillRect/>
        </a:stretch>
      </xdr:blipFill>
      <xdr:spPr>
        <a:xfrm>
          <a:off x="0" y="0"/>
          <a:ext cx="819150" cy="523875"/>
        </a:xfrm>
        <a:prstGeom prst="rect">
          <a:avLst/>
        </a:prstGeom>
      </xdr:spPr>
    </xdr:pic>
  </etc:cellImage>
  <etc:cellImage>
    <xdr:pic>
      <xdr:nvPicPr>
        <xdr:cNvPr id="552" name="ID_52C2CBF3C7424594BB335F61C0A4B7D9" descr="22"/>
        <xdr:cNvPicPr/>
      </xdr:nvPicPr>
      <xdr:blipFill>
        <a:blip r:embed="rId324"/>
        <a:srcRect/>
        <a:stretch>
          <a:fillRect/>
        </a:stretch>
      </xdr:blipFill>
      <xdr:spPr>
        <a:xfrm>
          <a:off x="1776730" y="200044685"/>
          <a:ext cx="665480" cy="346075"/>
        </a:xfrm>
        <a:prstGeom prst="rect">
          <a:avLst/>
        </a:prstGeom>
        <a:noFill/>
      </xdr:spPr>
    </xdr:pic>
  </etc:cellImage>
  <etc:cellImage>
    <xdr:pic>
      <xdr:nvPicPr>
        <xdr:cNvPr id="600" name="ID_1C1C9A51ACDC41BBA0AD0E7A0A778A7E" descr="489"/>
        <xdr:cNvPicPr/>
      </xdr:nvPicPr>
      <xdr:blipFill>
        <a:blip r:embed="rId325"/>
        <a:srcRect/>
        <a:stretch>
          <a:fillRect/>
        </a:stretch>
      </xdr:blipFill>
      <xdr:spPr>
        <a:xfrm>
          <a:off x="1764665" y="223279335"/>
          <a:ext cx="1030605" cy="147955"/>
        </a:xfrm>
        <a:prstGeom prst="rect">
          <a:avLst/>
        </a:prstGeom>
        <a:noFill/>
      </xdr:spPr>
    </xdr:pic>
  </etc:cellImage>
  <etc:cellImage>
    <xdr:pic>
      <xdr:nvPicPr>
        <xdr:cNvPr id="312" name="ID_00B4CD628DCF411DA00DD977124B7923" descr="255"/>
        <xdr:cNvPicPr/>
      </xdr:nvPicPr>
      <xdr:blipFill>
        <a:blip r:embed="rId326"/>
        <a:srcRect/>
        <a:stretch>
          <a:fillRect/>
        </a:stretch>
      </xdr:blipFill>
      <xdr:spPr>
        <a:xfrm>
          <a:off x="1814830" y="126923800"/>
          <a:ext cx="551180" cy="289560"/>
        </a:xfrm>
        <a:prstGeom prst="rect">
          <a:avLst/>
        </a:prstGeom>
        <a:noFill/>
      </xdr:spPr>
    </xdr:pic>
  </etc:cellImage>
  <etc:cellImage>
    <xdr:pic>
      <xdr:nvPicPr>
        <xdr:cNvPr id="422" name="ID_21C2205A8B174E908EDBDF53D429BCB8" descr="478"/>
        <xdr:cNvPicPr/>
      </xdr:nvPicPr>
      <xdr:blipFill>
        <a:blip r:embed="rId327"/>
        <a:srcRect/>
        <a:stretch>
          <a:fillRect/>
        </a:stretch>
      </xdr:blipFill>
      <xdr:spPr>
        <a:xfrm>
          <a:off x="1780540" y="153683335"/>
          <a:ext cx="1304925" cy="168910"/>
        </a:xfrm>
        <a:prstGeom prst="rect">
          <a:avLst/>
        </a:prstGeom>
        <a:noFill/>
      </xdr:spPr>
    </xdr:pic>
  </etc:cellImage>
  <etc:cellImage>
    <xdr:pic>
      <xdr:nvPicPr>
        <xdr:cNvPr id="51" name="ID_18BF312309EA47809110FF96379439D4" descr="core_image_url__exec_download_4239335150"/>
        <xdr:cNvPicPr/>
      </xdr:nvPicPr>
      <xdr:blipFill>
        <a:blip r:embed="rId307"/>
        <a:stretch>
          <a:fillRect/>
        </a:stretch>
      </xdr:blipFill>
      <xdr:spPr>
        <a:xfrm>
          <a:off x="0" y="0"/>
          <a:ext cx="3810000" cy="3810000"/>
        </a:xfrm>
        <a:prstGeom prst="rect">
          <a:avLst/>
        </a:prstGeom>
      </xdr:spPr>
    </xdr:pic>
  </etc:cellImage>
  <etc:cellImage>
    <xdr:pic>
      <xdr:nvPicPr>
        <xdr:cNvPr id="475" name="ID_8DD470DE0A75414EA8F44EA59EFE5B2E" descr="543"/>
        <xdr:cNvPicPr/>
      </xdr:nvPicPr>
      <xdr:blipFill>
        <a:blip r:embed="rId328"/>
        <a:srcRect/>
        <a:stretch>
          <a:fillRect/>
        </a:stretch>
      </xdr:blipFill>
      <xdr:spPr>
        <a:xfrm>
          <a:off x="1790065" y="164273230"/>
          <a:ext cx="741045" cy="247650"/>
        </a:xfrm>
        <a:prstGeom prst="rect">
          <a:avLst/>
        </a:prstGeom>
        <a:noFill/>
      </xdr:spPr>
    </xdr:pic>
  </etc:cellImage>
  <etc:cellImage>
    <xdr:pic>
      <xdr:nvPicPr>
        <xdr:cNvPr id="473" name="ID_88D08C3643C241878C78BF9D1B0E1BB7" descr="542"/>
        <xdr:cNvPicPr/>
      </xdr:nvPicPr>
      <xdr:blipFill>
        <a:blip r:embed="rId329"/>
        <a:srcRect/>
        <a:stretch>
          <a:fillRect/>
        </a:stretch>
      </xdr:blipFill>
      <xdr:spPr>
        <a:xfrm>
          <a:off x="1779905" y="163449000"/>
          <a:ext cx="275590" cy="331470"/>
        </a:xfrm>
        <a:prstGeom prst="rect">
          <a:avLst/>
        </a:prstGeom>
        <a:noFill/>
      </xdr:spPr>
    </xdr:pic>
  </etc:cellImage>
  <etc:cellImage>
    <xdr:pic>
      <xdr:nvPicPr>
        <xdr:cNvPr id="26" name="ID_122E17DF7D06464A8FB70F3B964ED7BD" descr="567"/>
        <xdr:cNvPicPr/>
      </xdr:nvPicPr>
      <xdr:blipFill>
        <a:blip r:embed="rId330"/>
        <a:srcRect/>
        <a:stretch>
          <a:fillRect/>
        </a:stretch>
      </xdr:blipFill>
      <xdr:spPr>
        <a:xfrm>
          <a:off x="1960245" y="9206865"/>
          <a:ext cx="914400" cy="353060"/>
        </a:xfrm>
        <a:prstGeom prst="rect">
          <a:avLst/>
        </a:prstGeom>
        <a:noFill/>
      </xdr:spPr>
    </xdr:pic>
  </etc:cellImage>
  <etc:cellImage>
    <xdr:pic>
      <xdr:nvPicPr>
        <xdr:cNvPr id="509" name="ID_3E452EED2FBE4A6EB3961BC71977EE85" descr="153"/>
        <xdr:cNvPicPr/>
      </xdr:nvPicPr>
      <xdr:blipFill>
        <a:blip r:embed="rId331"/>
        <a:srcRect/>
        <a:stretch>
          <a:fillRect/>
        </a:stretch>
      </xdr:blipFill>
      <xdr:spPr>
        <a:xfrm>
          <a:off x="1767840" y="178695350"/>
          <a:ext cx="464820" cy="354330"/>
        </a:xfrm>
        <a:prstGeom prst="rect">
          <a:avLst/>
        </a:prstGeom>
        <a:noFill/>
      </xdr:spPr>
    </xdr:pic>
  </etc:cellImage>
  <etc:cellImage>
    <xdr:pic>
      <xdr:nvPicPr>
        <xdr:cNvPr id="519" name="ID_82ADC7A094A64823A1004B527A1FC26B" descr="373"/>
        <xdr:cNvPicPr/>
      </xdr:nvPicPr>
      <xdr:blipFill>
        <a:blip r:embed="rId332"/>
        <a:srcRect/>
        <a:stretch>
          <a:fillRect/>
        </a:stretch>
      </xdr:blipFill>
      <xdr:spPr>
        <a:xfrm>
          <a:off x="1746250" y="184785000"/>
          <a:ext cx="525780" cy="337820"/>
        </a:xfrm>
        <a:prstGeom prst="rect">
          <a:avLst/>
        </a:prstGeom>
        <a:noFill/>
      </xdr:spPr>
    </xdr:pic>
  </etc:cellImage>
  <etc:cellImage>
    <xdr:pic>
      <xdr:nvPicPr>
        <xdr:cNvPr id="273" name="ID_E606764C60194BF7A5AE91F2166A52AB" descr="341"/>
        <xdr:cNvPicPr/>
      </xdr:nvPicPr>
      <xdr:blipFill>
        <a:blip r:embed="rId333"/>
        <a:srcRect/>
        <a:stretch>
          <a:fillRect/>
        </a:stretch>
      </xdr:blipFill>
      <xdr:spPr>
        <a:xfrm>
          <a:off x="1838960" y="92229940"/>
          <a:ext cx="891540" cy="358140"/>
        </a:xfrm>
        <a:prstGeom prst="rect">
          <a:avLst/>
        </a:prstGeom>
        <a:noFill/>
      </xdr:spPr>
    </xdr:pic>
  </etc:cellImage>
  <etc:cellImage>
    <xdr:pic>
      <xdr:nvPicPr>
        <xdr:cNvPr id="492" name="ID_CD0BE73A14354874AA47B5FDC5CDD145" descr="463"/>
        <xdr:cNvPicPr/>
      </xdr:nvPicPr>
      <xdr:blipFill>
        <a:blip r:embed="rId334"/>
        <a:srcRect/>
        <a:stretch>
          <a:fillRect/>
        </a:stretch>
      </xdr:blipFill>
      <xdr:spPr>
        <a:xfrm>
          <a:off x="1771650" y="171086780"/>
          <a:ext cx="675640" cy="338455"/>
        </a:xfrm>
        <a:prstGeom prst="rect">
          <a:avLst/>
        </a:prstGeom>
        <a:noFill/>
      </xdr:spPr>
    </xdr:pic>
  </etc:cellImage>
  <etc:cellImage>
    <xdr:pic>
      <xdr:nvPicPr>
        <xdr:cNvPr id="112" name="ID_9B1C77621CAA493FABDBF31C15C8A232" descr="core_image_url__exec_download_1462223548"/>
        <xdr:cNvPicPr/>
      </xdr:nvPicPr>
      <xdr:blipFill>
        <a:blip r:embed="rId335"/>
        <a:stretch>
          <a:fillRect/>
        </a:stretch>
      </xdr:blipFill>
      <xdr:spPr>
        <a:xfrm>
          <a:off x="0" y="0"/>
          <a:ext cx="594360" cy="205740"/>
        </a:xfrm>
        <a:prstGeom prst="rect">
          <a:avLst/>
        </a:prstGeom>
      </xdr:spPr>
    </xdr:pic>
  </etc:cellImage>
  <etc:cellImage>
    <xdr:pic>
      <xdr:nvPicPr>
        <xdr:cNvPr id="247" name="ID_47C16A48396343EFB67AD38FBD7B8985" descr="196"/>
        <xdr:cNvPicPr/>
      </xdr:nvPicPr>
      <xdr:blipFill>
        <a:blip r:embed="rId336"/>
        <a:srcRect/>
        <a:stretch>
          <a:fillRect/>
        </a:stretch>
      </xdr:blipFill>
      <xdr:spPr>
        <a:xfrm>
          <a:off x="1864995" y="97236915"/>
          <a:ext cx="416560" cy="345440"/>
        </a:xfrm>
        <a:prstGeom prst="rect">
          <a:avLst/>
        </a:prstGeom>
        <a:noFill/>
      </xdr:spPr>
    </xdr:pic>
  </etc:cellImage>
  <etc:cellImage>
    <xdr:pic>
      <xdr:nvPicPr>
        <xdr:cNvPr id="336" name="ID_1F8227285EB24571994282CBC61B0239" descr="17"/>
        <xdr:cNvPicPr/>
      </xdr:nvPicPr>
      <xdr:blipFill>
        <a:blip r:embed="rId337"/>
        <a:srcRect/>
        <a:stretch>
          <a:fillRect/>
        </a:stretch>
      </xdr:blipFill>
      <xdr:spPr>
        <a:xfrm>
          <a:off x="1763395" y="135279765"/>
          <a:ext cx="659130" cy="339725"/>
        </a:xfrm>
        <a:prstGeom prst="rect">
          <a:avLst/>
        </a:prstGeom>
        <a:noFill/>
      </xdr:spPr>
    </xdr:pic>
  </etc:cellImage>
  <etc:cellImage>
    <xdr:pic>
      <xdr:nvPicPr>
        <xdr:cNvPr id="442" name="ID_B86F353F593E4661958205E3EF8B4FA2" descr="364"/>
        <xdr:cNvPicPr/>
      </xdr:nvPicPr>
      <xdr:blipFill>
        <a:blip r:embed="rId117"/>
        <a:srcRect/>
        <a:stretch>
          <a:fillRect/>
        </a:stretch>
      </xdr:blipFill>
      <xdr:spPr>
        <a:xfrm>
          <a:off x="1771015" y="157743525"/>
          <a:ext cx="337820" cy="354965"/>
        </a:xfrm>
        <a:prstGeom prst="rect">
          <a:avLst/>
        </a:prstGeom>
        <a:noFill/>
      </xdr:spPr>
    </xdr:pic>
  </etc:cellImage>
  <etc:cellImage>
    <xdr:pic>
      <xdr:nvPicPr>
        <xdr:cNvPr id="259" name="ID_6AC546936B6344249546993AC956AA45" descr="133"/>
        <xdr:cNvPicPr/>
      </xdr:nvPicPr>
      <xdr:blipFill>
        <a:blip r:embed="rId338"/>
        <a:srcRect/>
        <a:stretch>
          <a:fillRect/>
        </a:stretch>
      </xdr:blipFill>
      <xdr:spPr>
        <a:xfrm>
          <a:off x="1746250" y="100204905"/>
          <a:ext cx="645795" cy="353695"/>
        </a:xfrm>
        <a:prstGeom prst="rect">
          <a:avLst/>
        </a:prstGeom>
        <a:noFill/>
      </xdr:spPr>
    </xdr:pic>
  </etc:cellImage>
  <etc:cellImage>
    <xdr:pic>
      <xdr:nvPicPr>
        <xdr:cNvPr id="504" name="ID_7B025702AD624318B0AA44E0E40F18EF" descr="387"/>
        <xdr:cNvPicPr/>
      </xdr:nvPicPr>
      <xdr:blipFill>
        <a:blip r:embed="rId339"/>
        <a:srcRect/>
        <a:stretch>
          <a:fillRect/>
        </a:stretch>
      </xdr:blipFill>
      <xdr:spPr>
        <a:xfrm>
          <a:off x="1788795" y="176828450"/>
          <a:ext cx="542925" cy="298450"/>
        </a:xfrm>
        <a:prstGeom prst="rect">
          <a:avLst/>
        </a:prstGeom>
        <a:noFill/>
      </xdr:spPr>
    </xdr:pic>
  </etc:cellImage>
  <etc:cellImage>
    <xdr:pic>
      <xdr:nvPicPr>
        <xdr:cNvPr id="86" name="ID_073596AFFCE04611AA178EA31FBA64F0" descr="core_image_url__exec_download_3571328900"/>
        <xdr:cNvPicPr/>
      </xdr:nvPicPr>
      <xdr:blipFill>
        <a:blip r:embed="rId340"/>
        <a:stretch>
          <a:fillRect/>
        </a:stretch>
      </xdr:blipFill>
      <xdr:spPr>
        <a:xfrm>
          <a:off x="0" y="0"/>
          <a:ext cx="601980" cy="236220"/>
        </a:xfrm>
        <a:prstGeom prst="rect">
          <a:avLst/>
        </a:prstGeom>
      </xdr:spPr>
    </xdr:pic>
  </etc:cellImage>
  <etc:cellImage>
    <xdr:pic>
      <xdr:nvPicPr>
        <xdr:cNvPr id="114" name="ID_C63D00B5C05544759ED65CD6F86EA178" descr="197"/>
        <xdr:cNvPicPr/>
      </xdr:nvPicPr>
      <xdr:blipFill>
        <a:blip r:embed="rId341"/>
        <a:srcRect/>
        <a:stretch>
          <a:fillRect/>
        </a:stretch>
      </xdr:blipFill>
      <xdr:spPr>
        <a:xfrm>
          <a:off x="5417185" y="225298635"/>
          <a:ext cx="1329055" cy="989965"/>
        </a:xfrm>
        <a:prstGeom prst="rect">
          <a:avLst/>
        </a:prstGeom>
        <a:noFill/>
      </xdr:spPr>
    </xdr:pic>
  </etc:cellImage>
  <etc:cellImage>
    <xdr:pic>
      <xdr:nvPicPr>
        <xdr:cNvPr id="471" name="ID_65C8F78E7F514E4CA8A0FCAC215F7C7B" descr="core_image_url__exec_download_3849117710"/>
        <xdr:cNvPicPr>
          <a:picLocks noChangeAspect="1"/>
        </xdr:cNvPicPr>
      </xdr:nvPicPr>
      <xdr:blipFill>
        <a:blip r:embed="rId342"/>
        <a:stretch>
          <a:fillRect/>
        </a:stretch>
      </xdr:blipFill>
      <xdr:spPr>
        <a:xfrm>
          <a:off x="1782445" y="131475480"/>
          <a:ext cx="467995" cy="358140"/>
        </a:xfrm>
        <a:prstGeom prst="rect">
          <a:avLst/>
        </a:prstGeom>
      </xdr:spPr>
    </xdr:pic>
  </etc:cellImage>
  <etc:cellImage>
    <xdr:pic>
      <xdr:nvPicPr>
        <xdr:cNvPr id="271" name="ID_A32B2AAC237249D9A5FB16D1B394D768" descr="228"/>
        <xdr:cNvPicPr/>
      </xdr:nvPicPr>
      <xdr:blipFill>
        <a:blip r:embed="rId343"/>
        <a:srcRect/>
        <a:stretch>
          <a:fillRect/>
        </a:stretch>
      </xdr:blipFill>
      <xdr:spPr>
        <a:xfrm>
          <a:off x="1812290" y="103285290"/>
          <a:ext cx="1276985" cy="479425"/>
        </a:xfrm>
        <a:prstGeom prst="rect">
          <a:avLst/>
        </a:prstGeom>
        <a:noFill/>
      </xdr:spPr>
    </xdr:pic>
  </etc:cellImage>
  <etc:cellImage>
    <xdr:pic>
      <xdr:nvPicPr>
        <xdr:cNvPr id="461" name="ID_9FA23BB5EA224FEE9242E3A4FDB8EE18" descr="336"/>
        <xdr:cNvPicPr/>
      </xdr:nvPicPr>
      <xdr:blipFill>
        <a:blip r:embed="rId344"/>
        <a:srcRect/>
        <a:stretch>
          <a:fillRect/>
        </a:stretch>
      </xdr:blipFill>
      <xdr:spPr>
        <a:xfrm>
          <a:off x="1821815" y="160435290"/>
          <a:ext cx="318135" cy="318135"/>
        </a:xfrm>
        <a:prstGeom prst="rect">
          <a:avLst/>
        </a:prstGeom>
        <a:noFill/>
      </xdr:spPr>
    </xdr:pic>
  </etc:cellImage>
  <etc:cellImage>
    <xdr:pic>
      <xdr:nvPicPr>
        <xdr:cNvPr id="462" name="ID_8FC180F75C93439E8DEEEF51BD1B287F" descr="337"/>
        <xdr:cNvPicPr/>
      </xdr:nvPicPr>
      <xdr:blipFill>
        <a:blip r:embed="rId344"/>
        <a:srcRect/>
        <a:stretch>
          <a:fillRect/>
        </a:stretch>
      </xdr:blipFill>
      <xdr:spPr>
        <a:xfrm>
          <a:off x="1821815" y="160808035"/>
          <a:ext cx="359410" cy="361315"/>
        </a:xfrm>
        <a:prstGeom prst="rect">
          <a:avLst/>
        </a:prstGeom>
        <a:noFill/>
      </xdr:spPr>
    </xdr:pic>
  </etc:cellImage>
  <etc:cellImage>
    <xdr:pic>
      <xdr:nvPicPr>
        <xdr:cNvPr id="538" name="ID_A8023FFFEE514CB5A5007F44F335D4E7" descr="188"/>
        <xdr:cNvPicPr/>
      </xdr:nvPicPr>
      <xdr:blipFill>
        <a:blip r:embed="rId345"/>
        <a:srcRect/>
        <a:stretch>
          <a:fillRect/>
        </a:stretch>
      </xdr:blipFill>
      <xdr:spPr>
        <a:xfrm>
          <a:off x="1779905" y="191648715"/>
          <a:ext cx="541020" cy="353060"/>
        </a:xfrm>
        <a:prstGeom prst="rect">
          <a:avLst/>
        </a:prstGeom>
        <a:noFill/>
      </xdr:spPr>
    </xdr:pic>
  </etc:cellImage>
  <etc:cellImage>
    <xdr:pic>
      <xdr:nvPicPr>
        <xdr:cNvPr id="551" name="ID_0CADF61986F840508144DF2053A61E98" descr="21"/>
        <xdr:cNvPicPr/>
      </xdr:nvPicPr>
      <xdr:blipFill>
        <a:blip r:embed="rId346"/>
        <a:srcRect/>
        <a:stretch>
          <a:fillRect/>
        </a:stretch>
      </xdr:blipFill>
      <xdr:spPr>
        <a:xfrm>
          <a:off x="1878965" y="199653525"/>
          <a:ext cx="868680" cy="297815"/>
        </a:xfrm>
        <a:prstGeom prst="rect">
          <a:avLst/>
        </a:prstGeom>
        <a:noFill/>
      </xdr:spPr>
    </xdr:pic>
  </etc:cellImage>
  <etc:cellImage>
    <xdr:pic>
      <xdr:nvPicPr>
        <xdr:cNvPr id="102" name="ID_2CCA088D75854883B7F8BDAD9E609B5B" descr="core_image_url__exec_download_3662565069"/>
        <xdr:cNvPicPr/>
      </xdr:nvPicPr>
      <xdr:blipFill>
        <a:blip r:embed="rId347"/>
        <a:stretch>
          <a:fillRect/>
        </a:stretch>
      </xdr:blipFill>
      <xdr:spPr>
        <a:xfrm>
          <a:off x="0" y="0"/>
          <a:ext cx="441960" cy="228600"/>
        </a:xfrm>
        <a:prstGeom prst="rect">
          <a:avLst/>
        </a:prstGeom>
      </xdr:spPr>
    </xdr:pic>
  </etc:cellImage>
  <etc:cellImage>
    <xdr:pic>
      <xdr:nvPicPr>
        <xdr:cNvPr id="453" name="ID_9F6576672FA44348AF63C32E875C940C" descr="233"/>
        <xdr:cNvPicPr/>
      </xdr:nvPicPr>
      <xdr:blipFill>
        <a:blip r:embed="rId348"/>
        <a:srcRect/>
        <a:stretch>
          <a:fillRect/>
        </a:stretch>
      </xdr:blipFill>
      <xdr:spPr>
        <a:xfrm>
          <a:off x="1847850" y="160052385"/>
          <a:ext cx="516890" cy="331470"/>
        </a:xfrm>
        <a:prstGeom prst="rect">
          <a:avLst/>
        </a:prstGeom>
        <a:noFill/>
      </xdr:spPr>
    </xdr:pic>
  </etc:cellImage>
  <etc:cellImage>
    <xdr:pic>
      <xdr:nvPicPr>
        <xdr:cNvPr id="251" name="ID_211E7855BA7C4A5097E7095341F19AD0" descr="65"/>
        <xdr:cNvPicPr/>
      </xdr:nvPicPr>
      <xdr:blipFill>
        <a:blip r:embed="rId349"/>
        <a:srcRect/>
        <a:stretch>
          <a:fillRect/>
        </a:stretch>
      </xdr:blipFill>
      <xdr:spPr>
        <a:xfrm>
          <a:off x="1911985" y="97928430"/>
          <a:ext cx="622935" cy="355600"/>
        </a:xfrm>
        <a:prstGeom prst="rect">
          <a:avLst/>
        </a:prstGeom>
        <a:noFill/>
      </xdr:spPr>
    </xdr:pic>
  </etc:cellImage>
  <etc:cellImage>
    <xdr:pic>
      <xdr:nvPicPr>
        <xdr:cNvPr id="263" name="ID_BBEB970B5ECC448FA18A3272421D75B6" descr="134"/>
        <xdr:cNvPicPr/>
      </xdr:nvPicPr>
      <xdr:blipFill>
        <a:blip r:embed="rId350"/>
        <a:srcRect/>
        <a:stretch>
          <a:fillRect/>
        </a:stretch>
      </xdr:blipFill>
      <xdr:spPr>
        <a:xfrm>
          <a:off x="1874520" y="100653850"/>
          <a:ext cx="687705" cy="377825"/>
        </a:xfrm>
        <a:prstGeom prst="rect">
          <a:avLst/>
        </a:prstGeom>
        <a:noFill/>
      </xdr:spPr>
    </xdr:pic>
  </etc:cellImage>
  <etc:cellImage>
    <xdr:pic>
      <xdr:nvPicPr>
        <xdr:cNvPr id="444" name="ID_51D83EAC897844C78EE2FD55E346A89E" descr="417"/>
        <xdr:cNvPicPr/>
      </xdr:nvPicPr>
      <xdr:blipFill>
        <a:blip r:embed="rId243"/>
        <a:srcRect/>
        <a:stretch>
          <a:fillRect/>
        </a:stretch>
      </xdr:blipFill>
      <xdr:spPr>
        <a:xfrm>
          <a:off x="1823720" y="95262065"/>
          <a:ext cx="370840" cy="357505"/>
        </a:xfrm>
        <a:prstGeom prst="rect">
          <a:avLst/>
        </a:prstGeom>
        <a:noFill/>
      </xdr:spPr>
    </xdr:pic>
  </etc:cellImage>
  <etc:cellImage>
    <xdr:pic>
      <xdr:nvPicPr>
        <xdr:cNvPr id="59" name="ID_D1FE176EBB64400BB1C3526E3CA88D36" descr="core_image_url__exec_download_768633710"/>
        <xdr:cNvPicPr/>
      </xdr:nvPicPr>
      <xdr:blipFill>
        <a:blip r:embed="rId351"/>
        <a:stretch>
          <a:fillRect/>
        </a:stretch>
      </xdr:blipFill>
      <xdr:spPr>
        <a:xfrm>
          <a:off x="0" y="0"/>
          <a:ext cx="2867025" cy="1638300"/>
        </a:xfrm>
        <a:prstGeom prst="rect">
          <a:avLst/>
        </a:prstGeom>
      </xdr:spPr>
    </xdr:pic>
  </etc:cellImage>
  <etc:cellImage>
    <xdr:pic>
      <xdr:nvPicPr>
        <xdr:cNvPr id="299" name="ID_853952D3BB03493093EAF27D65385D6D" descr="66"/>
        <xdr:cNvPicPr/>
      </xdr:nvPicPr>
      <xdr:blipFill>
        <a:blip r:embed="rId352"/>
        <a:srcRect/>
        <a:stretch>
          <a:fillRect/>
        </a:stretch>
      </xdr:blipFill>
      <xdr:spPr>
        <a:xfrm>
          <a:off x="2159000" y="115961795"/>
          <a:ext cx="841375" cy="332740"/>
        </a:xfrm>
        <a:prstGeom prst="rect">
          <a:avLst/>
        </a:prstGeom>
        <a:noFill/>
      </xdr:spPr>
    </xdr:pic>
  </etc:cellImage>
  <etc:cellImage>
    <xdr:pic>
      <xdr:nvPicPr>
        <xdr:cNvPr id="84" name="ID_BE09F165F84447B49DE45441C5EAF3D2" descr="core_image_url__exec_download_2110798735"/>
        <xdr:cNvPicPr/>
      </xdr:nvPicPr>
      <xdr:blipFill>
        <a:blip r:embed="rId353"/>
        <a:stretch>
          <a:fillRect/>
        </a:stretch>
      </xdr:blipFill>
      <xdr:spPr>
        <a:xfrm>
          <a:off x="0" y="0"/>
          <a:ext cx="342900" cy="266700"/>
        </a:xfrm>
        <a:prstGeom prst="rect">
          <a:avLst/>
        </a:prstGeom>
      </xdr:spPr>
    </xdr:pic>
  </etc:cellImage>
  <etc:cellImage>
    <xdr:pic>
      <xdr:nvPicPr>
        <xdr:cNvPr id="483" name="ID_21309D1D872D4AEEA56AAAF983271B8E" descr="69"/>
        <xdr:cNvPicPr/>
      </xdr:nvPicPr>
      <xdr:blipFill>
        <a:blip r:embed="rId228"/>
        <a:srcRect/>
        <a:stretch>
          <a:fillRect/>
        </a:stretch>
      </xdr:blipFill>
      <xdr:spPr>
        <a:xfrm>
          <a:off x="1774190" y="165391465"/>
          <a:ext cx="605790" cy="321310"/>
        </a:xfrm>
        <a:prstGeom prst="rect">
          <a:avLst/>
        </a:prstGeom>
        <a:noFill/>
      </xdr:spPr>
    </xdr:pic>
  </etc:cellImage>
  <etc:cellImage>
    <xdr:pic>
      <xdr:nvPicPr>
        <xdr:cNvPr id="292" name="ID_C1A866F37BCC4CF2A5FB6655C89ADB21" descr="366"/>
        <xdr:cNvPicPr/>
      </xdr:nvPicPr>
      <xdr:blipFill>
        <a:blip r:embed="rId354"/>
        <a:srcRect/>
        <a:stretch>
          <a:fillRect/>
        </a:stretch>
      </xdr:blipFill>
      <xdr:spPr>
        <a:xfrm>
          <a:off x="1952625" y="110946565"/>
          <a:ext cx="620395" cy="390525"/>
        </a:xfrm>
        <a:prstGeom prst="rect">
          <a:avLst/>
        </a:prstGeom>
        <a:noFill/>
      </xdr:spPr>
    </xdr:pic>
  </etc:cellImage>
  <etc:cellImage>
    <xdr:pic>
      <xdr:nvPicPr>
        <xdr:cNvPr id="615" name="ID_63E1ACF4ADFD496DB87D0588DFB36AB1" descr="334"/>
        <xdr:cNvPicPr/>
      </xdr:nvPicPr>
      <xdr:blipFill>
        <a:blip r:embed="rId355"/>
        <a:srcRect/>
        <a:stretch>
          <a:fillRect/>
        </a:stretch>
      </xdr:blipFill>
      <xdr:spPr>
        <a:xfrm>
          <a:off x="1756410" y="231653715"/>
          <a:ext cx="531495" cy="384810"/>
        </a:xfrm>
        <a:prstGeom prst="rect">
          <a:avLst/>
        </a:prstGeom>
        <a:noFill/>
      </xdr:spPr>
    </xdr:pic>
  </etc:cellImage>
  <etc:cellImage>
    <xdr:pic>
      <xdr:nvPicPr>
        <xdr:cNvPr id="83" name="ID_CA9873447C7A44CE8716EFADCBD39F86" descr="core_image_url__exec_download_802709798"/>
        <xdr:cNvPicPr/>
      </xdr:nvPicPr>
      <xdr:blipFill>
        <a:blip r:embed="rId356"/>
        <a:stretch>
          <a:fillRect/>
        </a:stretch>
      </xdr:blipFill>
      <xdr:spPr>
        <a:xfrm>
          <a:off x="0" y="0"/>
          <a:ext cx="190500" cy="373380"/>
        </a:xfrm>
        <a:prstGeom prst="rect">
          <a:avLst/>
        </a:prstGeom>
      </xdr:spPr>
    </xdr:pic>
  </etc:cellImage>
  <etc:cellImage>
    <xdr:pic>
      <xdr:nvPicPr>
        <xdr:cNvPr id="415" name="ID_42BCE21DE5994FCBB86B43D63279D4CF" descr="34"/>
        <xdr:cNvPicPr/>
      </xdr:nvPicPr>
      <xdr:blipFill>
        <a:blip r:embed="rId357"/>
        <a:srcRect/>
        <a:stretch>
          <a:fillRect/>
        </a:stretch>
      </xdr:blipFill>
      <xdr:spPr>
        <a:xfrm>
          <a:off x="1793240" y="144066895"/>
          <a:ext cx="729615" cy="309245"/>
        </a:xfrm>
        <a:prstGeom prst="rect">
          <a:avLst/>
        </a:prstGeom>
        <a:noFill/>
      </xdr:spPr>
    </xdr:pic>
  </etc:cellImage>
  <etc:cellImage>
    <xdr:pic>
      <xdr:nvPicPr>
        <xdr:cNvPr id="663" name="ID_69A1D99CE6754DC69D7C00FB622F0C74" descr="core_image_url__exec_download_3702742264"/>
        <xdr:cNvPicPr/>
      </xdr:nvPicPr>
      <xdr:blipFill>
        <a:blip r:embed="rId358"/>
        <a:stretch>
          <a:fillRect/>
        </a:stretch>
      </xdr:blipFill>
      <xdr:spPr>
        <a:xfrm>
          <a:off x="0" y="0"/>
          <a:ext cx="1352550" cy="1209675"/>
        </a:xfrm>
        <a:prstGeom prst="rect">
          <a:avLst/>
        </a:prstGeom>
      </xdr:spPr>
    </xdr:pic>
  </etc:cellImage>
  <etc:cellImage>
    <xdr:pic>
      <xdr:nvPicPr>
        <xdr:cNvPr id="347" name="ID_324649439B1C43469DE711059FA3A98F" descr="343"/>
        <xdr:cNvPicPr/>
      </xdr:nvPicPr>
      <xdr:blipFill>
        <a:blip r:embed="rId359"/>
        <a:srcRect/>
        <a:stretch>
          <a:fillRect/>
        </a:stretch>
      </xdr:blipFill>
      <xdr:spPr>
        <a:xfrm>
          <a:off x="1981835" y="93066235"/>
          <a:ext cx="458470" cy="363855"/>
        </a:xfrm>
        <a:prstGeom prst="rect">
          <a:avLst/>
        </a:prstGeom>
        <a:noFill/>
      </xdr:spPr>
    </xdr:pic>
  </etc:cellImage>
  <etc:cellImage>
    <xdr:pic>
      <xdr:nvPicPr>
        <xdr:cNvPr id="411" name="ID_A383D04B062E44A7A17098D87A575191" descr="486"/>
        <xdr:cNvPicPr/>
      </xdr:nvPicPr>
      <xdr:blipFill>
        <a:blip r:embed="rId360"/>
        <a:srcRect/>
        <a:stretch>
          <a:fillRect/>
        </a:stretch>
      </xdr:blipFill>
      <xdr:spPr>
        <a:xfrm>
          <a:off x="1809115" y="90317955"/>
          <a:ext cx="492125" cy="372110"/>
        </a:xfrm>
        <a:prstGeom prst="rect">
          <a:avLst/>
        </a:prstGeom>
        <a:noFill/>
      </xdr:spPr>
    </xdr:pic>
  </etc:cellImage>
  <etc:cellImage>
    <xdr:pic>
      <xdr:nvPicPr>
        <xdr:cNvPr id="660" name="ID_0508198714B848AB8F5558434FF2D0F8" descr="core_image_url__exec_download_3451540788"/>
        <xdr:cNvPicPr/>
      </xdr:nvPicPr>
      <xdr:blipFill>
        <a:blip r:embed="rId361"/>
        <a:stretch>
          <a:fillRect/>
        </a:stretch>
      </xdr:blipFill>
      <xdr:spPr>
        <a:xfrm>
          <a:off x="0" y="0"/>
          <a:ext cx="1666875" cy="1190625"/>
        </a:xfrm>
        <a:prstGeom prst="rect">
          <a:avLst/>
        </a:prstGeom>
      </xdr:spPr>
    </xdr:pic>
  </etc:cellImage>
  <etc:cellImage>
    <xdr:pic>
      <xdr:nvPicPr>
        <xdr:cNvPr id="62" name="ID_580C7A82DED4496896AE9A54DC470556" descr="core_image_url__exec_download_3121010652"/>
        <xdr:cNvPicPr/>
      </xdr:nvPicPr>
      <xdr:blipFill>
        <a:blip r:embed="rId362"/>
        <a:stretch>
          <a:fillRect/>
        </a:stretch>
      </xdr:blipFill>
      <xdr:spPr>
        <a:xfrm>
          <a:off x="0" y="0"/>
          <a:ext cx="1971675" cy="2257425"/>
        </a:xfrm>
        <a:prstGeom prst="rect">
          <a:avLst/>
        </a:prstGeom>
      </xdr:spPr>
    </xdr:pic>
  </etc:cellImage>
  <etc:cellImage>
    <xdr:pic>
      <xdr:nvPicPr>
        <xdr:cNvPr id="502" name="ID_5208DB7191A6441B99785B05704AEBC7" descr="429"/>
        <xdr:cNvPicPr/>
      </xdr:nvPicPr>
      <xdr:blipFill>
        <a:blip r:embed="rId363"/>
        <a:srcRect/>
        <a:stretch>
          <a:fillRect/>
        </a:stretch>
      </xdr:blipFill>
      <xdr:spPr>
        <a:xfrm>
          <a:off x="1806575" y="175666400"/>
          <a:ext cx="443230" cy="290830"/>
        </a:xfrm>
        <a:prstGeom prst="rect">
          <a:avLst/>
        </a:prstGeom>
        <a:noFill/>
      </xdr:spPr>
    </xdr:pic>
  </etc:cellImage>
  <etc:cellImage>
    <xdr:pic>
      <xdr:nvPicPr>
        <xdr:cNvPr id="81" name="ID_077B73373BE54BB78A0C0FAF7EF000D2" descr="core_image_url__exec_download_968638648"/>
        <xdr:cNvPicPr/>
      </xdr:nvPicPr>
      <xdr:blipFill>
        <a:blip r:embed="rId364"/>
        <a:stretch>
          <a:fillRect/>
        </a:stretch>
      </xdr:blipFill>
      <xdr:spPr>
        <a:xfrm>
          <a:off x="0" y="0"/>
          <a:ext cx="662940" cy="304800"/>
        </a:xfrm>
        <a:prstGeom prst="rect">
          <a:avLst/>
        </a:prstGeom>
      </xdr:spPr>
    </xdr:pic>
  </etc:cellImage>
  <etc:cellImage>
    <xdr:pic>
      <xdr:nvPicPr>
        <xdr:cNvPr id="572" name="ID_4730069CB43944659656425848444515" descr="core_image_url__exec_download_1659599277"/>
        <xdr:cNvPicPr/>
      </xdr:nvPicPr>
      <xdr:blipFill>
        <a:blip r:embed="rId365"/>
        <a:stretch>
          <a:fillRect/>
        </a:stretch>
      </xdr:blipFill>
      <xdr:spPr>
        <a:xfrm>
          <a:off x="0" y="0"/>
          <a:ext cx="2921000" cy="1562100"/>
        </a:xfrm>
        <a:prstGeom prst="rect">
          <a:avLst/>
        </a:prstGeom>
      </xdr:spPr>
    </xdr:pic>
  </etc:cellImage>
  <etc:cellImage>
    <xdr:pic>
      <xdr:nvPicPr>
        <xdr:cNvPr id="15" name="ID_60638D33CA3041A3BA8618CF488133D9" descr="core_image_url__exec_download_2048014977"/>
        <xdr:cNvPicPr/>
      </xdr:nvPicPr>
      <xdr:blipFill>
        <a:blip r:embed="rId366"/>
        <a:stretch>
          <a:fillRect/>
        </a:stretch>
      </xdr:blipFill>
      <xdr:spPr>
        <a:xfrm>
          <a:off x="0" y="0"/>
          <a:ext cx="1762125" cy="1762125"/>
        </a:xfrm>
        <a:prstGeom prst="rect">
          <a:avLst/>
        </a:prstGeom>
      </xdr:spPr>
    </xdr:pic>
  </etc:cellImage>
  <etc:cellImage>
    <xdr:pic>
      <xdr:nvPicPr>
        <xdr:cNvPr id="100" name="ID_B29B5FD08C81468DBC4E87EEAD5E8867" descr="core_image_url__exec_download_2027848151"/>
        <xdr:cNvPicPr/>
      </xdr:nvPicPr>
      <xdr:blipFill>
        <a:blip r:embed="rId367"/>
        <a:stretch>
          <a:fillRect/>
        </a:stretch>
      </xdr:blipFill>
      <xdr:spPr>
        <a:xfrm>
          <a:off x="0" y="0"/>
          <a:ext cx="327660" cy="289560"/>
        </a:xfrm>
        <a:prstGeom prst="rect">
          <a:avLst/>
        </a:prstGeom>
      </xdr:spPr>
    </xdr:pic>
  </etc:cellImage>
  <etc:cellImage>
    <xdr:pic>
      <xdr:nvPicPr>
        <xdr:cNvPr id="541" name="ID_2A82942ECB654D8DA390AA7FD430B283" descr="431"/>
        <xdr:cNvPicPr/>
      </xdr:nvPicPr>
      <xdr:blipFill>
        <a:blip r:embed="rId368"/>
        <a:srcRect/>
        <a:stretch>
          <a:fillRect/>
        </a:stretch>
      </xdr:blipFill>
      <xdr:spPr>
        <a:xfrm>
          <a:off x="1746250" y="192786000"/>
          <a:ext cx="330200" cy="364490"/>
        </a:xfrm>
        <a:prstGeom prst="rect">
          <a:avLst/>
        </a:prstGeom>
        <a:noFill/>
      </xdr:spPr>
    </xdr:pic>
  </etc:cellImage>
  <etc:cellImage>
    <xdr:pic>
      <xdr:nvPicPr>
        <xdr:cNvPr id="3" name="ID_85A4C7F7A7D94A2E91E8CA44D8646CDA" descr="core_image_url__exec_download_442905809"/>
        <xdr:cNvPicPr/>
      </xdr:nvPicPr>
      <xdr:blipFill>
        <a:blip r:embed="rId369"/>
        <a:stretch>
          <a:fillRect/>
        </a:stretch>
      </xdr:blipFill>
      <xdr:spPr>
        <a:xfrm>
          <a:off x="0" y="0"/>
          <a:ext cx="768350" cy="647700"/>
        </a:xfrm>
        <a:prstGeom prst="rect">
          <a:avLst/>
        </a:prstGeom>
      </xdr:spPr>
    </xdr:pic>
  </etc:cellImage>
  <etc:cellImage>
    <xdr:pic>
      <xdr:nvPicPr>
        <xdr:cNvPr id="12" name="ID_7F15B0F2FFED45C588163C502275CF52" descr="551"/>
        <xdr:cNvPicPr/>
      </xdr:nvPicPr>
      <xdr:blipFill>
        <a:blip r:embed="rId370"/>
        <a:srcRect/>
        <a:stretch>
          <a:fillRect/>
        </a:stretch>
      </xdr:blipFill>
      <xdr:spPr>
        <a:xfrm>
          <a:off x="1884045" y="5840730"/>
          <a:ext cx="947420" cy="182880"/>
        </a:xfrm>
        <a:prstGeom prst="rect">
          <a:avLst/>
        </a:prstGeom>
        <a:noFill/>
      </xdr:spPr>
    </xdr:pic>
  </etc:cellImage>
  <etc:cellImage>
    <xdr:pic>
      <xdr:nvPicPr>
        <xdr:cNvPr id="439" name="ID_3F00E0C5445D43BE9B64C1A31DE486F7" descr="460"/>
        <xdr:cNvPicPr/>
      </xdr:nvPicPr>
      <xdr:blipFill>
        <a:blip r:embed="rId371"/>
        <a:srcRect/>
        <a:stretch>
          <a:fillRect/>
        </a:stretch>
      </xdr:blipFill>
      <xdr:spPr>
        <a:xfrm>
          <a:off x="1784350" y="156972000"/>
          <a:ext cx="387350" cy="346075"/>
        </a:xfrm>
        <a:prstGeom prst="rect">
          <a:avLst/>
        </a:prstGeom>
        <a:noFill/>
      </xdr:spPr>
    </xdr:pic>
  </etc:cellImage>
  <etc:cellImage>
    <xdr:pic>
      <xdr:nvPicPr>
        <xdr:cNvPr id="549" name="ID_950D5BA50AC94A9CBC05CD5F2D21D213" descr="271"/>
        <xdr:cNvPicPr/>
      </xdr:nvPicPr>
      <xdr:blipFill>
        <a:blip r:embed="rId372"/>
        <a:srcRect/>
        <a:stretch>
          <a:fillRect/>
        </a:stretch>
      </xdr:blipFill>
      <xdr:spPr>
        <a:xfrm>
          <a:off x="1800225" y="198890255"/>
          <a:ext cx="517525" cy="289560"/>
        </a:xfrm>
        <a:prstGeom prst="rect">
          <a:avLst/>
        </a:prstGeom>
        <a:noFill/>
      </xdr:spPr>
    </xdr:pic>
  </etc:cellImage>
  <etc:cellImage>
    <xdr:pic>
      <xdr:nvPicPr>
        <xdr:cNvPr id="413" name="ID_A04B754AF35044C2A4593EA5DA9B5C7E" descr="181"/>
        <xdr:cNvPicPr/>
      </xdr:nvPicPr>
      <xdr:blipFill>
        <a:blip r:embed="rId373"/>
        <a:srcRect/>
        <a:stretch>
          <a:fillRect/>
        </a:stretch>
      </xdr:blipFill>
      <xdr:spPr>
        <a:xfrm>
          <a:off x="1776095" y="151754840"/>
          <a:ext cx="736600" cy="214630"/>
        </a:xfrm>
        <a:prstGeom prst="rect">
          <a:avLst/>
        </a:prstGeom>
        <a:noFill/>
      </xdr:spPr>
    </xdr:pic>
  </etc:cellImage>
  <etc:cellImage>
    <xdr:pic>
      <xdr:nvPicPr>
        <xdr:cNvPr id="35" name="ID_AC0B8FD639B047AE8373A4E5EBA2AD79"/>
        <xdr:cNvPicPr>
          <a:picLocks noChangeAspect="1"/>
        </xdr:cNvPicPr>
      </xdr:nvPicPr>
      <xdr:blipFill>
        <a:blip r:embed="rId374"/>
        <a:stretch>
          <a:fillRect/>
        </a:stretch>
      </xdr:blipFill>
      <xdr:spPr>
        <a:xfrm>
          <a:off x="1828165" y="128031240"/>
          <a:ext cx="697865" cy="3505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3" name="ID_4229A14C276944808B3D5DDCDDBB3861" descr="340"/>
        <xdr:cNvPicPr/>
      </xdr:nvPicPr>
      <xdr:blipFill>
        <a:blip r:embed="rId375"/>
        <a:srcRect/>
        <a:stretch>
          <a:fillRect/>
        </a:stretch>
      </xdr:blipFill>
      <xdr:spPr>
        <a:xfrm>
          <a:off x="1934845" y="91851480"/>
          <a:ext cx="421640" cy="311785"/>
        </a:xfrm>
        <a:prstGeom prst="rect">
          <a:avLst/>
        </a:prstGeom>
        <a:noFill/>
      </xdr:spPr>
    </xdr:pic>
  </etc:cellImage>
  <etc:cellImage>
    <xdr:pic>
      <xdr:nvPicPr>
        <xdr:cNvPr id="52" name="ID_43770FC6688146F18A21AB0695C22EE4" descr="core_image_url__exec_download_2409977965"/>
        <xdr:cNvPicPr/>
      </xdr:nvPicPr>
      <xdr:blipFill>
        <a:blip r:embed="rId376"/>
        <a:stretch>
          <a:fillRect/>
        </a:stretch>
      </xdr:blipFill>
      <xdr:spPr>
        <a:xfrm>
          <a:off x="0" y="0"/>
          <a:ext cx="1158240" cy="381000"/>
        </a:xfrm>
        <a:prstGeom prst="rect">
          <a:avLst/>
        </a:prstGeom>
      </xdr:spPr>
    </xdr:pic>
  </etc:cellImage>
  <etc:cellImage>
    <xdr:pic>
      <xdr:nvPicPr>
        <xdr:cNvPr id="573" name="ID_0EC57C293FDE48989044379EECDCD4DD" descr="core_image_url__exec_download_2721296591"/>
        <xdr:cNvPicPr/>
      </xdr:nvPicPr>
      <xdr:blipFill>
        <a:blip r:embed="rId377"/>
        <a:stretch>
          <a:fillRect/>
        </a:stretch>
      </xdr:blipFill>
      <xdr:spPr>
        <a:xfrm>
          <a:off x="0" y="0"/>
          <a:ext cx="838200" cy="411480"/>
        </a:xfrm>
        <a:prstGeom prst="rect">
          <a:avLst/>
        </a:prstGeom>
      </xdr:spPr>
    </xdr:pic>
  </etc:cellImage>
  <etc:cellImage>
    <xdr:pic>
      <xdr:nvPicPr>
        <xdr:cNvPr id="511" name="ID_59689A82E15F4CBFBADF817CC26B07A2" descr="155"/>
        <xdr:cNvPicPr/>
      </xdr:nvPicPr>
      <xdr:blipFill>
        <a:blip r:embed="rId378"/>
        <a:srcRect/>
        <a:stretch>
          <a:fillRect/>
        </a:stretch>
      </xdr:blipFill>
      <xdr:spPr>
        <a:xfrm>
          <a:off x="1777365" y="179453540"/>
          <a:ext cx="645795" cy="372110"/>
        </a:xfrm>
        <a:prstGeom prst="rect">
          <a:avLst/>
        </a:prstGeom>
        <a:noFill/>
      </xdr:spPr>
    </xdr:pic>
  </etc:cellImage>
  <etc:cellImage>
    <xdr:pic>
      <xdr:nvPicPr>
        <xdr:cNvPr id="384" name="ID_D30376E5C39B4EA7948444B6E2D586F0" descr="346"/>
        <xdr:cNvPicPr/>
      </xdr:nvPicPr>
      <xdr:blipFill>
        <a:blip r:embed="rId379"/>
        <a:srcRect/>
        <a:stretch>
          <a:fillRect/>
        </a:stretch>
      </xdr:blipFill>
      <xdr:spPr>
        <a:xfrm>
          <a:off x="1752600" y="94108905"/>
          <a:ext cx="629285" cy="369570"/>
        </a:xfrm>
        <a:prstGeom prst="rect">
          <a:avLst/>
        </a:prstGeom>
        <a:noFill/>
      </xdr:spPr>
    </xdr:pic>
  </etc:cellImage>
  <etc:cellImage>
    <xdr:pic>
      <xdr:nvPicPr>
        <xdr:cNvPr id="89" name="ID_F5E27911A1BE4679BDDC0AD20B99C532" descr="core_image_url__exec_download_1391704965"/>
        <xdr:cNvPicPr/>
      </xdr:nvPicPr>
      <xdr:blipFill>
        <a:blip r:embed="rId380"/>
        <a:stretch>
          <a:fillRect/>
        </a:stretch>
      </xdr:blipFill>
      <xdr:spPr>
        <a:xfrm>
          <a:off x="0" y="0"/>
          <a:ext cx="4057650" cy="1495425"/>
        </a:xfrm>
        <a:prstGeom prst="rect">
          <a:avLst/>
        </a:prstGeom>
      </xdr:spPr>
    </xdr:pic>
  </etc:cellImage>
  <etc:cellImage>
    <xdr:pic>
      <xdr:nvPicPr>
        <xdr:cNvPr id="567" name="ID_0CAA390E50A74E4DB3E10ACC1C24DEA3" descr="465"/>
        <xdr:cNvPicPr/>
      </xdr:nvPicPr>
      <xdr:blipFill>
        <a:blip r:embed="rId381"/>
        <a:srcRect/>
        <a:stretch>
          <a:fillRect/>
        </a:stretch>
      </xdr:blipFill>
      <xdr:spPr>
        <a:xfrm>
          <a:off x="1771015" y="208884520"/>
          <a:ext cx="561975" cy="153670"/>
        </a:xfrm>
        <a:prstGeom prst="rect">
          <a:avLst/>
        </a:prstGeom>
        <a:noFill/>
      </xdr:spPr>
    </xdr:pic>
  </etc:cellImage>
  <etc:cellImage>
    <xdr:pic>
      <xdr:nvPicPr>
        <xdr:cNvPr id="239" name="ID_9F275015C2094BBBA1E7BD813056EA79" descr="338"/>
        <xdr:cNvPicPr/>
      </xdr:nvPicPr>
      <xdr:blipFill>
        <a:blip r:embed="rId382"/>
        <a:srcRect/>
        <a:stretch>
          <a:fillRect/>
        </a:stretch>
      </xdr:blipFill>
      <xdr:spPr>
        <a:xfrm>
          <a:off x="1880870" y="91177745"/>
          <a:ext cx="433705" cy="347980"/>
        </a:xfrm>
        <a:prstGeom prst="rect">
          <a:avLst/>
        </a:prstGeom>
        <a:noFill/>
      </xdr:spPr>
    </xdr:pic>
  </etc:cellImage>
  <etc:cellImage>
    <xdr:pic>
      <xdr:nvPicPr>
        <xdr:cNvPr id="465" name="ID_9DA36EE04B524B0582031AB89C0062CC" descr="144"/>
        <xdr:cNvPicPr/>
      </xdr:nvPicPr>
      <xdr:blipFill>
        <a:blip r:embed="rId128"/>
        <a:srcRect/>
        <a:stretch>
          <a:fillRect/>
        </a:stretch>
      </xdr:blipFill>
      <xdr:spPr>
        <a:xfrm>
          <a:off x="1770380" y="161951670"/>
          <a:ext cx="640080" cy="333375"/>
        </a:xfrm>
        <a:prstGeom prst="rect">
          <a:avLst/>
        </a:prstGeom>
        <a:noFill/>
      </xdr:spPr>
    </xdr:pic>
  </etc:cellImage>
  <etc:cellImage>
    <xdr:pic>
      <xdr:nvPicPr>
        <xdr:cNvPr id="654" name="ID_D4873BED911E4E52A5B9ECCE6F8476E8" descr="558"/>
        <xdr:cNvPicPr/>
      </xdr:nvPicPr>
      <xdr:blipFill>
        <a:blip r:embed="rId383"/>
        <a:srcRect/>
        <a:stretch>
          <a:fillRect/>
        </a:stretch>
      </xdr:blipFill>
      <xdr:spPr>
        <a:xfrm>
          <a:off x="1753870" y="248800620"/>
          <a:ext cx="615315" cy="354330"/>
        </a:xfrm>
        <a:prstGeom prst="rect">
          <a:avLst/>
        </a:prstGeom>
        <a:noFill/>
      </xdr:spPr>
    </xdr:pic>
  </etc:cellImage>
  <etc:cellImage>
    <xdr:pic>
      <xdr:nvPicPr>
        <xdr:cNvPr id="244" name="ID_43B6760193CD442AA724CA3AAAD381DB" descr="344"/>
        <xdr:cNvPicPr/>
      </xdr:nvPicPr>
      <xdr:blipFill>
        <a:blip r:embed="rId384"/>
        <a:srcRect/>
        <a:stretch>
          <a:fillRect/>
        </a:stretch>
      </xdr:blipFill>
      <xdr:spPr>
        <a:xfrm>
          <a:off x="1746250" y="93355160"/>
          <a:ext cx="700405" cy="346075"/>
        </a:xfrm>
        <a:prstGeom prst="rect">
          <a:avLst/>
        </a:prstGeom>
        <a:noFill/>
      </xdr:spPr>
    </xdr:pic>
  </etc:cellImage>
  <etc:cellImage>
    <xdr:pic>
      <xdr:nvPicPr>
        <xdr:cNvPr id="676" name="ID_B150901C154D4A37A7846B8797B7FE85" descr="core_image_url__exec_download_246565038"/>
        <xdr:cNvPicPr/>
      </xdr:nvPicPr>
      <xdr:blipFill>
        <a:blip r:embed="rId385"/>
        <a:stretch>
          <a:fillRect/>
        </a:stretch>
      </xdr:blipFill>
      <xdr:spPr>
        <a:xfrm>
          <a:off x="0" y="0"/>
          <a:ext cx="5105400" cy="4191000"/>
        </a:xfrm>
        <a:prstGeom prst="rect">
          <a:avLst/>
        </a:prstGeom>
      </xdr:spPr>
    </xdr:pic>
  </etc:cellImage>
  <etc:cellImage>
    <xdr:pic>
      <xdr:nvPicPr>
        <xdr:cNvPr id="559" name="ID_076CCD217C814A2AB8D8F332CE3B30A3" descr="27"/>
        <xdr:cNvPicPr/>
      </xdr:nvPicPr>
      <xdr:blipFill>
        <a:blip r:embed="rId386"/>
        <a:srcRect/>
        <a:stretch>
          <a:fillRect/>
        </a:stretch>
      </xdr:blipFill>
      <xdr:spPr>
        <a:xfrm>
          <a:off x="1858010" y="201968735"/>
          <a:ext cx="907415" cy="393700"/>
        </a:xfrm>
        <a:prstGeom prst="rect">
          <a:avLst/>
        </a:prstGeom>
        <a:noFill/>
      </xdr:spPr>
    </xdr:pic>
  </etc:cellImage>
  <etc:cellImage>
    <xdr:pic>
      <xdr:nvPicPr>
        <xdr:cNvPr id="576" name="ID_64567C8625AC44A1A99C62241D3BEC2A" descr="3"/>
        <xdr:cNvPicPr/>
      </xdr:nvPicPr>
      <xdr:blipFill>
        <a:blip r:embed="rId387"/>
        <a:srcRect/>
        <a:stretch>
          <a:fillRect/>
        </a:stretch>
      </xdr:blipFill>
      <xdr:spPr>
        <a:xfrm>
          <a:off x="2098675" y="212693885"/>
          <a:ext cx="410845" cy="372745"/>
        </a:xfrm>
        <a:prstGeom prst="rect">
          <a:avLst/>
        </a:prstGeom>
        <a:noFill/>
      </xdr:spPr>
    </xdr:pic>
  </etc:cellImage>
  <etc:cellImage>
    <xdr:pic>
      <xdr:nvPicPr>
        <xdr:cNvPr id="378" name="ID_029B1E99B4E842C1B142129A4DE81F47" descr="38"/>
        <xdr:cNvPicPr/>
      </xdr:nvPicPr>
      <xdr:blipFill>
        <a:blip r:embed="rId388"/>
        <a:srcRect/>
        <a:stretch>
          <a:fillRect/>
        </a:stretch>
      </xdr:blipFill>
      <xdr:spPr>
        <a:xfrm>
          <a:off x="1755140" y="145618200"/>
          <a:ext cx="567690" cy="271145"/>
        </a:xfrm>
        <a:prstGeom prst="rect">
          <a:avLst/>
        </a:prstGeom>
        <a:noFill/>
      </xdr:spPr>
    </xdr:pic>
  </etc:cellImage>
  <etc:cellImage>
    <xdr:pic>
      <xdr:nvPicPr>
        <xdr:cNvPr id="417" name="ID_C0CD9DBEBA61432EB80777D2F46649CE" descr="359"/>
        <xdr:cNvPicPr/>
      </xdr:nvPicPr>
      <xdr:blipFill>
        <a:blip r:embed="rId389"/>
        <a:srcRect/>
        <a:stretch>
          <a:fillRect/>
        </a:stretch>
      </xdr:blipFill>
      <xdr:spPr>
        <a:xfrm>
          <a:off x="1798955" y="152126315"/>
          <a:ext cx="299085" cy="350520"/>
        </a:xfrm>
        <a:prstGeom prst="rect">
          <a:avLst/>
        </a:prstGeom>
        <a:noFill/>
      </xdr:spPr>
    </xdr:pic>
  </etc:cellImage>
  <etc:cellImage>
    <xdr:pic>
      <xdr:nvPicPr>
        <xdr:cNvPr id="452" name="ID_8E723E9B538D400191D541888F09AC32" descr="232"/>
        <xdr:cNvPicPr/>
      </xdr:nvPicPr>
      <xdr:blipFill>
        <a:blip r:embed="rId390"/>
        <a:srcRect/>
        <a:stretch>
          <a:fillRect/>
        </a:stretch>
      </xdr:blipFill>
      <xdr:spPr>
        <a:xfrm>
          <a:off x="1840865" y="159641540"/>
          <a:ext cx="399415" cy="356870"/>
        </a:xfrm>
        <a:prstGeom prst="rect">
          <a:avLst/>
        </a:prstGeom>
        <a:noFill/>
      </xdr:spPr>
    </xdr:pic>
  </etc:cellImage>
  <etc:cellImage>
    <xdr:pic>
      <xdr:nvPicPr>
        <xdr:cNvPr id="288" name="ID_453EDBD712B542189FC3210E23A3E0EC" descr="361"/>
        <xdr:cNvPicPr/>
      </xdr:nvPicPr>
      <xdr:blipFill>
        <a:blip r:embed="rId391"/>
        <a:srcRect/>
        <a:stretch>
          <a:fillRect/>
        </a:stretch>
      </xdr:blipFill>
      <xdr:spPr>
        <a:xfrm>
          <a:off x="1979295" y="110592870"/>
          <a:ext cx="327660" cy="410210"/>
        </a:xfrm>
        <a:prstGeom prst="rect">
          <a:avLst/>
        </a:prstGeom>
        <a:noFill/>
      </xdr:spPr>
    </xdr:pic>
  </etc:cellImage>
  <etc:cellImage>
    <xdr:pic>
      <xdr:nvPicPr>
        <xdr:cNvPr id="254" name="ID_CF00EF7045684A22923F7C460A71268B" descr="72"/>
        <xdr:cNvPicPr/>
      </xdr:nvPicPr>
      <xdr:blipFill>
        <a:blip r:embed="rId392"/>
        <a:srcRect/>
        <a:stretch>
          <a:fillRect/>
        </a:stretch>
      </xdr:blipFill>
      <xdr:spPr>
        <a:xfrm>
          <a:off x="1943735" y="98345625"/>
          <a:ext cx="626745" cy="347345"/>
        </a:xfrm>
        <a:prstGeom prst="rect">
          <a:avLst/>
        </a:prstGeom>
        <a:noFill/>
      </xdr:spPr>
    </xdr:pic>
  </etc:cellImage>
  <etc:cellImage>
    <xdr:pic>
      <xdr:nvPicPr>
        <xdr:cNvPr id="514" name="ID_57187143CEDC448496C3B38B60E1D4F5" descr="493"/>
        <xdr:cNvPicPr/>
      </xdr:nvPicPr>
      <xdr:blipFill>
        <a:blip r:embed="rId393"/>
        <a:srcRect/>
        <a:stretch>
          <a:fillRect/>
        </a:stretch>
      </xdr:blipFill>
      <xdr:spPr>
        <a:xfrm>
          <a:off x="1746250" y="180594000"/>
          <a:ext cx="523240" cy="339725"/>
        </a:xfrm>
        <a:prstGeom prst="rect">
          <a:avLst/>
        </a:prstGeom>
        <a:noFill/>
      </xdr:spPr>
    </xdr:pic>
  </etc:cellImage>
  <etc:cellImage>
    <xdr:pic>
      <xdr:nvPicPr>
        <xdr:cNvPr id="67" name="ID_F2D297C8C3FF425E81E677A6901455C6" descr="core_image_url__exec_download_2766419743"/>
        <xdr:cNvPicPr/>
      </xdr:nvPicPr>
      <xdr:blipFill>
        <a:blip r:embed="rId394"/>
        <a:stretch>
          <a:fillRect/>
        </a:stretch>
      </xdr:blipFill>
      <xdr:spPr>
        <a:xfrm>
          <a:off x="0" y="0"/>
          <a:ext cx="1295400" cy="701040"/>
        </a:xfrm>
        <a:prstGeom prst="rect">
          <a:avLst/>
        </a:prstGeom>
      </xdr:spPr>
    </xdr:pic>
  </etc:cellImage>
  <etc:cellImage>
    <xdr:pic>
      <xdr:nvPicPr>
        <xdr:cNvPr id="389" name="ID_D0B2B6254BF448BCBAF8DD94FA0EFA18" descr="200"/>
        <xdr:cNvPicPr/>
      </xdr:nvPicPr>
      <xdr:blipFill>
        <a:blip r:embed="rId395"/>
        <a:srcRect/>
        <a:stretch>
          <a:fillRect/>
        </a:stretch>
      </xdr:blipFill>
      <xdr:spPr>
        <a:xfrm>
          <a:off x="5380355" y="228393625"/>
          <a:ext cx="1569720" cy="969010"/>
        </a:xfrm>
        <a:prstGeom prst="rect">
          <a:avLst/>
        </a:prstGeom>
        <a:noFill/>
      </xdr:spPr>
    </xdr:pic>
  </etc:cellImage>
  <etc:cellImage>
    <xdr:pic>
      <xdr:nvPicPr>
        <xdr:cNvPr id="19" name="ID_0749EB59C6504EA6A86B330118E3020C" descr="core_image_url__exec_download_3085431288"/>
        <xdr:cNvPicPr/>
      </xdr:nvPicPr>
      <xdr:blipFill>
        <a:blip r:embed="rId396"/>
        <a:stretch>
          <a:fillRect/>
        </a:stretch>
      </xdr:blipFill>
      <xdr:spPr>
        <a:xfrm>
          <a:off x="0" y="0"/>
          <a:ext cx="1181100" cy="885825"/>
        </a:xfrm>
        <a:prstGeom prst="rect">
          <a:avLst/>
        </a:prstGeom>
      </xdr:spPr>
    </xdr:pic>
  </etc:cellImage>
  <etc:cellImage>
    <xdr:pic>
      <xdr:nvPicPr>
        <xdr:cNvPr id="353" name="ID_B73FC96E15ED4AD2BE00058CF815E97C" descr="262"/>
        <xdr:cNvPicPr/>
      </xdr:nvPicPr>
      <xdr:blipFill>
        <a:blip r:embed="rId397"/>
        <a:srcRect/>
        <a:stretch>
          <a:fillRect/>
        </a:stretch>
      </xdr:blipFill>
      <xdr:spPr>
        <a:xfrm>
          <a:off x="1760220" y="129661285"/>
          <a:ext cx="920750" cy="200660"/>
        </a:xfrm>
        <a:prstGeom prst="rect">
          <a:avLst/>
        </a:prstGeom>
        <a:noFill/>
      </xdr:spPr>
    </xdr:pic>
  </etc:cellImage>
  <etc:cellImage>
    <xdr:pic>
      <xdr:nvPicPr>
        <xdr:cNvPr id="437" name="ID_35048C2135BC4BC58BB12F14FAC6A151" descr="335"/>
        <xdr:cNvPicPr/>
      </xdr:nvPicPr>
      <xdr:blipFill>
        <a:blip r:embed="rId398"/>
        <a:srcRect/>
        <a:stretch>
          <a:fillRect/>
        </a:stretch>
      </xdr:blipFill>
      <xdr:spPr>
        <a:xfrm>
          <a:off x="1982470" y="104909620"/>
          <a:ext cx="450850" cy="351790"/>
        </a:xfrm>
        <a:prstGeom prst="rect">
          <a:avLst/>
        </a:prstGeom>
        <a:noFill/>
      </xdr:spPr>
    </xdr:pic>
  </etc:cellImage>
  <etc:cellImage>
    <xdr:pic>
      <xdr:nvPicPr>
        <xdr:cNvPr id="282" name="ID_DE40DE109500469694BA0FAC81360305" descr="391"/>
        <xdr:cNvPicPr/>
      </xdr:nvPicPr>
      <xdr:blipFill>
        <a:blip r:embed="rId399"/>
        <a:srcRect/>
        <a:stretch>
          <a:fillRect/>
        </a:stretch>
      </xdr:blipFill>
      <xdr:spPr>
        <a:xfrm>
          <a:off x="1891665" y="105648125"/>
          <a:ext cx="831850" cy="356235"/>
        </a:xfrm>
        <a:prstGeom prst="rect">
          <a:avLst/>
        </a:prstGeom>
        <a:noFill/>
      </xdr:spPr>
    </xdr:pic>
  </etc:cellImage>
  <etc:cellImage>
    <xdr:pic>
      <xdr:nvPicPr>
        <xdr:cNvPr id="11" name="ID_EA1B55BD1D6948F68CA036E0E093B9D0" descr="core_image_url__exec_download_4173350412"/>
        <xdr:cNvPicPr/>
      </xdr:nvPicPr>
      <xdr:blipFill>
        <a:blip r:embed="rId400"/>
        <a:stretch>
          <a:fillRect/>
        </a:stretch>
      </xdr:blipFill>
      <xdr:spPr>
        <a:xfrm>
          <a:off x="0" y="0"/>
          <a:ext cx="1581150" cy="1219200"/>
        </a:xfrm>
        <a:prstGeom prst="rect">
          <a:avLst/>
        </a:prstGeom>
      </xdr:spPr>
    </xdr:pic>
  </etc:cellImage>
  <etc:cellImage>
    <xdr:pic>
      <xdr:nvPicPr>
        <xdr:cNvPr id="17" name="ID_30291C4D86E641EABE7C6B0FA428B1F2" descr="core_image_url__exec_download_3620242948"/>
        <xdr:cNvPicPr/>
      </xdr:nvPicPr>
      <xdr:blipFill>
        <a:blip r:embed="rId401"/>
        <a:stretch>
          <a:fillRect/>
        </a:stretch>
      </xdr:blipFill>
      <xdr:spPr>
        <a:xfrm>
          <a:off x="0" y="0"/>
          <a:ext cx="1581150" cy="895350"/>
        </a:xfrm>
        <a:prstGeom prst="rect">
          <a:avLst/>
        </a:prstGeom>
      </xdr:spPr>
    </xdr:pic>
  </etc:cellImage>
  <etc:cellImage>
    <xdr:pic>
      <xdr:nvPicPr>
        <xdr:cNvPr id="18" name="ID_958B51C47A704EF1B734371BAA188CAB" descr="core_image_url__exec_download_1483182615"/>
        <xdr:cNvPicPr/>
      </xdr:nvPicPr>
      <xdr:blipFill>
        <a:blip r:embed="rId402"/>
        <a:stretch>
          <a:fillRect/>
        </a:stretch>
      </xdr:blipFill>
      <xdr:spPr>
        <a:xfrm>
          <a:off x="0" y="0"/>
          <a:ext cx="2571750" cy="1343025"/>
        </a:xfrm>
        <a:prstGeom prst="rect">
          <a:avLst/>
        </a:prstGeom>
      </xdr:spPr>
    </xdr:pic>
  </etc:cellImage>
  <etc:cellImage>
    <xdr:pic>
      <xdr:nvPicPr>
        <xdr:cNvPr id="22" name="ID_1ECEB5B2456A45EDACDF96D91D11AC06" descr="core_image_url__exec_download_3189577690"/>
        <xdr:cNvPicPr/>
      </xdr:nvPicPr>
      <xdr:blipFill>
        <a:blip r:embed="rId403"/>
        <a:stretch>
          <a:fillRect/>
        </a:stretch>
      </xdr:blipFill>
      <xdr:spPr>
        <a:xfrm>
          <a:off x="0" y="0"/>
          <a:ext cx="1676400" cy="952500"/>
        </a:xfrm>
        <a:prstGeom prst="rect">
          <a:avLst/>
        </a:prstGeom>
      </xdr:spPr>
    </xdr:pic>
  </etc:cellImage>
  <etc:cellImage>
    <xdr:pic>
      <xdr:nvPicPr>
        <xdr:cNvPr id="36" name="ID_520C709D4E4F4889A535A7316C514960" descr="core_image_url__exec_download_91409042"/>
        <xdr:cNvPicPr/>
      </xdr:nvPicPr>
      <xdr:blipFill>
        <a:blip r:embed="rId404"/>
        <a:stretch>
          <a:fillRect/>
        </a:stretch>
      </xdr:blipFill>
      <xdr:spPr>
        <a:xfrm>
          <a:off x="0" y="0"/>
          <a:ext cx="1379220" cy="1036320"/>
        </a:xfrm>
        <a:prstGeom prst="rect">
          <a:avLst/>
        </a:prstGeom>
      </xdr:spPr>
    </xdr:pic>
  </etc:cellImage>
  <etc:cellImage>
    <xdr:pic>
      <xdr:nvPicPr>
        <xdr:cNvPr id="49" name="ID_07EEA2C05AEA4522A7A77D89A5B9520D" descr="core_image_url__exec_download_215890557"/>
        <xdr:cNvPicPr/>
      </xdr:nvPicPr>
      <xdr:blipFill>
        <a:blip r:embed="rId405"/>
        <a:stretch>
          <a:fillRect/>
        </a:stretch>
      </xdr:blipFill>
      <xdr:spPr>
        <a:xfrm>
          <a:off x="0" y="0"/>
          <a:ext cx="731520" cy="807720"/>
        </a:xfrm>
        <a:prstGeom prst="rect">
          <a:avLst/>
        </a:prstGeom>
      </xdr:spPr>
    </xdr:pic>
  </etc:cellImage>
  <etc:cellImage>
    <xdr:pic>
      <xdr:nvPicPr>
        <xdr:cNvPr id="64" name="ID_91C0EA420DC446C79CC0B0B8EC36CDDB" descr="core_image_url__exec_download_473809098"/>
        <xdr:cNvPicPr/>
      </xdr:nvPicPr>
      <xdr:blipFill>
        <a:blip r:embed="rId406"/>
        <a:stretch>
          <a:fillRect/>
        </a:stretch>
      </xdr:blipFill>
      <xdr:spPr>
        <a:xfrm>
          <a:off x="0" y="0"/>
          <a:ext cx="1466850" cy="1343025"/>
        </a:xfrm>
        <a:prstGeom prst="rect">
          <a:avLst/>
        </a:prstGeom>
      </xdr:spPr>
    </xdr:pic>
  </etc:cellImage>
  <etc:cellImage>
    <xdr:pic>
      <xdr:nvPicPr>
        <xdr:cNvPr id="65" name="ID_9988C6BC3CD342F7BA16B25EC1A22491" descr="core_image_url__exec_download_4047822008"/>
        <xdr:cNvPicPr/>
      </xdr:nvPicPr>
      <xdr:blipFill>
        <a:blip r:embed="rId407"/>
        <a:stretch>
          <a:fillRect/>
        </a:stretch>
      </xdr:blipFill>
      <xdr:spPr>
        <a:xfrm>
          <a:off x="0" y="0"/>
          <a:ext cx="2667000" cy="2390775"/>
        </a:xfrm>
        <a:prstGeom prst="rect">
          <a:avLst/>
        </a:prstGeom>
      </xdr:spPr>
    </xdr:pic>
  </etc:cellImage>
  <etc:cellImage>
    <xdr:pic>
      <xdr:nvPicPr>
        <xdr:cNvPr id="68" name="ID_57BD713B15D84D2189521FCCD96B8878" descr="core_image_url__exec_download_123815609"/>
        <xdr:cNvPicPr/>
      </xdr:nvPicPr>
      <xdr:blipFill>
        <a:blip r:embed="rId408"/>
        <a:stretch>
          <a:fillRect/>
        </a:stretch>
      </xdr:blipFill>
      <xdr:spPr>
        <a:xfrm>
          <a:off x="0" y="0"/>
          <a:ext cx="3638550" cy="3028950"/>
        </a:xfrm>
        <a:prstGeom prst="rect">
          <a:avLst/>
        </a:prstGeom>
      </xdr:spPr>
    </xdr:pic>
  </etc:cellImage>
  <etc:cellImage>
    <xdr:pic>
      <xdr:nvPicPr>
        <xdr:cNvPr id="74" name="ID_F4C55B62ABAB4778966EB9D4DC250495" descr="core_image_url__exec_download_3261142537"/>
        <xdr:cNvPicPr/>
      </xdr:nvPicPr>
      <xdr:blipFill>
        <a:blip r:embed="rId409"/>
        <a:stretch>
          <a:fillRect/>
        </a:stretch>
      </xdr:blipFill>
      <xdr:spPr>
        <a:xfrm>
          <a:off x="0" y="0"/>
          <a:ext cx="1047750" cy="647700"/>
        </a:xfrm>
        <a:prstGeom prst="rect">
          <a:avLst/>
        </a:prstGeom>
      </xdr:spPr>
    </xdr:pic>
  </etc:cellImage>
  <etc:cellImage>
    <xdr:pic>
      <xdr:nvPicPr>
        <xdr:cNvPr id="77" name="ID_ADFF4242ACDC4C1E8922C5211B0CB8F2" descr="core_image_url__exec_download_3477357291"/>
        <xdr:cNvPicPr>
          <a:picLocks noChangeAspect="1"/>
        </xdr:cNvPicPr>
      </xdr:nvPicPr>
      <xdr:blipFill>
        <a:blip r:embed="rId410"/>
        <a:stretch>
          <a:fillRect/>
        </a:stretch>
      </xdr:blipFill>
      <xdr:spPr>
        <a:xfrm>
          <a:off x="3133725" y="20336510"/>
          <a:ext cx="628650" cy="616585"/>
        </a:xfrm>
        <a:prstGeom prst="rect">
          <a:avLst/>
        </a:prstGeom>
      </xdr:spPr>
    </xdr:pic>
  </etc:cellImage>
  <etc:cellImage>
    <xdr:pic>
      <xdr:nvPicPr>
        <xdr:cNvPr id="80" name="ID_5E548517A81747188C1F29F05BA21B3E" descr="core_image_url__exec_download_2816814897"/>
        <xdr:cNvPicPr/>
      </xdr:nvPicPr>
      <xdr:blipFill>
        <a:blip r:embed="rId411"/>
        <a:stretch>
          <a:fillRect/>
        </a:stretch>
      </xdr:blipFill>
      <xdr:spPr>
        <a:xfrm>
          <a:off x="0" y="0"/>
          <a:ext cx="1371600" cy="895350"/>
        </a:xfrm>
        <a:prstGeom prst="rect">
          <a:avLst/>
        </a:prstGeom>
      </xdr:spPr>
    </xdr:pic>
  </etc:cellImage>
  <etc:cellImage>
    <xdr:pic>
      <xdr:nvPicPr>
        <xdr:cNvPr id="88" name="ID_B8B095D47121436B9C03BD98E50FCEA8" descr="core_image_url__exec_download_54840931"/>
        <xdr:cNvPicPr/>
      </xdr:nvPicPr>
      <xdr:blipFill>
        <a:blip r:embed="rId412"/>
        <a:stretch>
          <a:fillRect/>
        </a:stretch>
      </xdr:blipFill>
      <xdr:spPr>
        <a:xfrm>
          <a:off x="0" y="0"/>
          <a:ext cx="1343025" cy="619125"/>
        </a:xfrm>
        <a:prstGeom prst="rect">
          <a:avLst/>
        </a:prstGeom>
      </xdr:spPr>
    </xdr:pic>
  </etc:cellImage>
  <etc:cellImage>
    <xdr:pic>
      <xdr:nvPicPr>
        <xdr:cNvPr id="90" name="ID_84EEA0B5A986414E935CFA01C8C1179D" descr="core_image_url__exec_download_1848864230"/>
        <xdr:cNvPicPr/>
      </xdr:nvPicPr>
      <xdr:blipFill>
        <a:blip r:embed="rId413"/>
        <a:stretch>
          <a:fillRect/>
        </a:stretch>
      </xdr:blipFill>
      <xdr:spPr>
        <a:xfrm>
          <a:off x="0" y="0"/>
          <a:ext cx="2838450" cy="1695450"/>
        </a:xfrm>
        <a:prstGeom prst="rect">
          <a:avLst/>
        </a:prstGeom>
      </xdr:spPr>
    </xdr:pic>
  </etc:cellImage>
  <etc:cellImage>
    <xdr:pic>
      <xdr:nvPicPr>
        <xdr:cNvPr id="93" name="ID_87A7856F5C9E414882ACF41EAA0490DE" descr="core_image_url__exec_download_3278741772"/>
        <xdr:cNvPicPr/>
      </xdr:nvPicPr>
      <xdr:blipFill>
        <a:blip r:embed="rId414"/>
        <a:stretch>
          <a:fillRect/>
        </a:stretch>
      </xdr:blipFill>
      <xdr:spPr>
        <a:xfrm>
          <a:off x="0" y="0"/>
          <a:ext cx="4295775" cy="1323975"/>
        </a:xfrm>
        <a:prstGeom prst="rect">
          <a:avLst/>
        </a:prstGeom>
      </xdr:spPr>
    </xdr:pic>
  </etc:cellImage>
  <etc:cellImage>
    <xdr:pic>
      <xdr:nvPicPr>
        <xdr:cNvPr id="105" name="ID_76E474DE828D489192F56701365A3142" descr="core_image_url__exec_download_3342489090"/>
        <xdr:cNvPicPr/>
      </xdr:nvPicPr>
      <xdr:blipFill>
        <a:blip r:embed="rId415"/>
        <a:stretch>
          <a:fillRect/>
        </a:stretch>
      </xdr:blipFill>
      <xdr:spPr>
        <a:xfrm>
          <a:off x="0" y="0"/>
          <a:ext cx="733425" cy="1276350"/>
        </a:xfrm>
        <a:prstGeom prst="rect">
          <a:avLst/>
        </a:prstGeom>
      </xdr:spPr>
    </xdr:pic>
  </etc:cellImage>
  <etc:cellImage>
    <xdr:pic>
      <xdr:nvPicPr>
        <xdr:cNvPr id="108" name="ID_3D97F5B04F194992BAF3BB622E5D8905" descr="core_image_url__exec_download_3780310660"/>
        <xdr:cNvPicPr/>
      </xdr:nvPicPr>
      <xdr:blipFill>
        <a:blip r:embed="rId416"/>
        <a:stretch>
          <a:fillRect/>
        </a:stretch>
      </xdr:blipFill>
      <xdr:spPr>
        <a:xfrm>
          <a:off x="0" y="0"/>
          <a:ext cx="5353050" cy="1314450"/>
        </a:xfrm>
        <a:prstGeom prst="rect">
          <a:avLst/>
        </a:prstGeom>
      </xdr:spPr>
    </xdr:pic>
  </etc:cellImage>
  <etc:cellImage>
    <xdr:pic>
      <xdr:nvPicPr>
        <xdr:cNvPr id="128" name="ID_285980C74B484B649ABF9578B5716018" descr="core_image_url__exec_download_2096958270"/>
        <xdr:cNvPicPr/>
      </xdr:nvPicPr>
      <xdr:blipFill>
        <a:blip r:embed="rId417"/>
        <a:stretch>
          <a:fillRect/>
        </a:stretch>
      </xdr:blipFill>
      <xdr:spPr>
        <a:xfrm>
          <a:off x="0" y="0"/>
          <a:ext cx="2057400" cy="1371600"/>
        </a:xfrm>
        <a:prstGeom prst="rect">
          <a:avLst/>
        </a:prstGeom>
      </xdr:spPr>
    </xdr:pic>
  </etc:cellImage>
  <etc:cellImage>
    <xdr:pic>
      <xdr:nvPicPr>
        <xdr:cNvPr id="215" name="ID_7B5158A17789498A8D834031C3E33640" descr="core_image_url__exec_download_1743682852"/>
        <xdr:cNvPicPr/>
      </xdr:nvPicPr>
      <xdr:blipFill>
        <a:blip r:embed="rId418"/>
        <a:stretch>
          <a:fillRect/>
        </a:stretch>
      </xdr:blipFill>
      <xdr:spPr>
        <a:xfrm>
          <a:off x="0" y="0"/>
          <a:ext cx="3086100" cy="1981200"/>
        </a:xfrm>
        <a:prstGeom prst="rect">
          <a:avLst/>
        </a:prstGeom>
      </xdr:spPr>
    </xdr:pic>
  </etc:cellImage>
  <etc:cellImage>
    <xdr:pic>
      <xdr:nvPicPr>
        <xdr:cNvPr id="223" name="ID_90F664FF3092482E88CBF880BDA4B569" descr="core_image_url__exec_download_1306147840"/>
        <xdr:cNvPicPr/>
      </xdr:nvPicPr>
      <xdr:blipFill>
        <a:blip r:embed="rId419"/>
        <a:stretch>
          <a:fillRect/>
        </a:stretch>
      </xdr:blipFill>
      <xdr:spPr>
        <a:xfrm>
          <a:off x="0" y="0"/>
          <a:ext cx="1390650" cy="1028700"/>
        </a:xfrm>
        <a:prstGeom prst="rect">
          <a:avLst/>
        </a:prstGeom>
      </xdr:spPr>
    </xdr:pic>
  </etc:cellImage>
  <etc:cellImage>
    <xdr:pic>
      <xdr:nvPicPr>
        <xdr:cNvPr id="230" name="ID_4BF55F14A142459EB532265324BD3749" descr="core_image_url__exec_download_620750138"/>
        <xdr:cNvPicPr/>
      </xdr:nvPicPr>
      <xdr:blipFill>
        <a:blip r:embed="rId420"/>
        <a:stretch>
          <a:fillRect/>
        </a:stretch>
      </xdr:blipFill>
      <xdr:spPr>
        <a:xfrm>
          <a:off x="0" y="0"/>
          <a:ext cx="2057400" cy="838200"/>
        </a:xfrm>
        <a:prstGeom prst="rect">
          <a:avLst/>
        </a:prstGeom>
      </xdr:spPr>
    </xdr:pic>
  </etc:cellImage>
  <etc:cellImage>
    <xdr:pic>
      <xdr:nvPicPr>
        <xdr:cNvPr id="234" name="ID_80F5D71C4E4048E3AD05902146EECBBC" descr="core_image_url__exec_download_3535317485"/>
        <xdr:cNvPicPr/>
      </xdr:nvPicPr>
      <xdr:blipFill>
        <a:blip r:embed="rId421"/>
        <a:stretch>
          <a:fillRect/>
        </a:stretch>
      </xdr:blipFill>
      <xdr:spPr>
        <a:xfrm>
          <a:off x="0" y="0"/>
          <a:ext cx="609600" cy="762000"/>
        </a:xfrm>
        <a:prstGeom prst="rect">
          <a:avLst/>
        </a:prstGeom>
      </xdr:spPr>
    </xdr:pic>
  </etc:cellImage>
  <etc:cellImage>
    <xdr:pic>
      <xdr:nvPicPr>
        <xdr:cNvPr id="268" name="ID_55237EA7755144A79BA0CE0B0D0DFA79" descr="core_image_url__exec_download_1239525292"/>
        <xdr:cNvPicPr/>
      </xdr:nvPicPr>
      <xdr:blipFill>
        <a:blip r:embed="rId422"/>
        <a:stretch>
          <a:fillRect/>
        </a:stretch>
      </xdr:blipFill>
      <xdr:spPr>
        <a:xfrm>
          <a:off x="0" y="0"/>
          <a:ext cx="3305175" cy="1885950"/>
        </a:xfrm>
        <a:prstGeom prst="rect">
          <a:avLst/>
        </a:prstGeom>
      </xdr:spPr>
    </xdr:pic>
  </etc:cellImage>
  <etc:cellImage>
    <xdr:pic>
      <xdr:nvPicPr>
        <xdr:cNvPr id="272" name="ID_46F1983C397A4FD6BFF180E27E0A8A05" descr="core_image_url__exec_download_1950417788"/>
        <xdr:cNvPicPr/>
      </xdr:nvPicPr>
      <xdr:blipFill>
        <a:blip r:embed="rId423"/>
        <a:stretch>
          <a:fillRect/>
        </a:stretch>
      </xdr:blipFill>
      <xdr:spPr>
        <a:xfrm>
          <a:off x="0" y="0"/>
          <a:ext cx="2085975" cy="1209675"/>
        </a:xfrm>
        <a:prstGeom prst="rect">
          <a:avLst/>
        </a:prstGeom>
      </xdr:spPr>
    </xdr:pic>
  </etc:cellImage>
  <etc:cellImage>
    <xdr:pic>
      <xdr:nvPicPr>
        <xdr:cNvPr id="275" name="ID_C12F59D03A324D8DAA9519D8E6ECF0F0" descr="core_image_url__exec_download_2099542578"/>
        <xdr:cNvPicPr/>
      </xdr:nvPicPr>
      <xdr:blipFill>
        <a:blip r:embed="rId424"/>
        <a:stretch>
          <a:fillRect/>
        </a:stretch>
      </xdr:blipFill>
      <xdr:spPr>
        <a:xfrm>
          <a:off x="0" y="0"/>
          <a:ext cx="2162175" cy="1905000"/>
        </a:xfrm>
        <a:prstGeom prst="rect">
          <a:avLst/>
        </a:prstGeom>
      </xdr:spPr>
    </xdr:pic>
  </etc:cellImage>
  <etc:cellImage>
    <xdr:pic>
      <xdr:nvPicPr>
        <xdr:cNvPr id="281" name="ID_B63310D719F2421F9C5159377896EF38" descr="core_image_url__exec_download_394190455"/>
        <xdr:cNvPicPr/>
      </xdr:nvPicPr>
      <xdr:blipFill>
        <a:blip r:embed="rId425"/>
        <a:stretch>
          <a:fillRect/>
        </a:stretch>
      </xdr:blipFill>
      <xdr:spPr>
        <a:xfrm>
          <a:off x="0" y="0"/>
          <a:ext cx="1771650" cy="3171825"/>
        </a:xfrm>
        <a:prstGeom prst="rect">
          <a:avLst/>
        </a:prstGeom>
      </xdr:spPr>
    </xdr:pic>
  </etc:cellImage>
  <etc:cellImage>
    <xdr:pic>
      <xdr:nvPicPr>
        <xdr:cNvPr id="289" name="ID_BA3EF43C209440E893E40DD7407CB7C0" descr="core_image_url__exec_download_2754755360"/>
        <xdr:cNvPicPr/>
      </xdr:nvPicPr>
      <xdr:blipFill>
        <a:blip r:embed="rId426"/>
        <a:stretch>
          <a:fillRect/>
        </a:stretch>
      </xdr:blipFill>
      <xdr:spPr>
        <a:xfrm>
          <a:off x="0" y="0"/>
          <a:ext cx="2457450" cy="2095500"/>
        </a:xfrm>
        <a:prstGeom prst="rect">
          <a:avLst/>
        </a:prstGeom>
      </xdr:spPr>
    </xdr:pic>
  </etc:cellImage>
  <etc:cellImage>
    <xdr:pic>
      <xdr:nvPicPr>
        <xdr:cNvPr id="293" name="ID_E2C8DB4E26F14716809D057B1A4C5313" descr="core_image_url__exec_download_4184284122"/>
        <xdr:cNvPicPr/>
      </xdr:nvPicPr>
      <xdr:blipFill>
        <a:blip r:embed="rId427"/>
        <a:stretch>
          <a:fillRect/>
        </a:stretch>
      </xdr:blipFill>
      <xdr:spPr>
        <a:xfrm>
          <a:off x="0" y="0"/>
          <a:ext cx="1562100" cy="1695450"/>
        </a:xfrm>
        <a:prstGeom prst="rect">
          <a:avLst/>
        </a:prstGeom>
      </xdr:spPr>
    </xdr:pic>
  </etc:cellImage>
  <etc:cellImage>
    <xdr:pic>
      <xdr:nvPicPr>
        <xdr:cNvPr id="294" name="ID_68F24F6167EC47EA83EAB897DF474AC7" descr="core_image_url__exec_download_2473132238"/>
        <xdr:cNvPicPr/>
      </xdr:nvPicPr>
      <xdr:blipFill>
        <a:blip r:embed="rId428"/>
        <a:stretch>
          <a:fillRect/>
        </a:stretch>
      </xdr:blipFill>
      <xdr:spPr>
        <a:xfrm>
          <a:off x="0" y="0"/>
          <a:ext cx="1123950" cy="800100"/>
        </a:xfrm>
        <a:prstGeom prst="rect">
          <a:avLst/>
        </a:prstGeom>
      </xdr:spPr>
    </xdr:pic>
  </etc:cellImage>
  <etc:cellImage>
    <xdr:pic>
      <xdr:nvPicPr>
        <xdr:cNvPr id="298" name="ID_E011EC943CF8490B882A2F8A3AB4C4E0" descr="core_image_url__exec_download_2192721832"/>
        <xdr:cNvPicPr/>
      </xdr:nvPicPr>
      <xdr:blipFill>
        <a:blip r:embed="rId429"/>
        <a:stretch>
          <a:fillRect/>
        </a:stretch>
      </xdr:blipFill>
      <xdr:spPr>
        <a:xfrm>
          <a:off x="0" y="0"/>
          <a:ext cx="1009650" cy="933450"/>
        </a:xfrm>
        <a:prstGeom prst="rect">
          <a:avLst/>
        </a:prstGeom>
      </xdr:spPr>
    </xdr:pic>
  </etc:cellImage>
  <etc:cellImage>
    <xdr:pic>
      <xdr:nvPicPr>
        <xdr:cNvPr id="304" name="ID_C73908FE6E46476F975EB3931B64951E" descr="core_image_url__exec_download_3377691299"/>
        <xdr:cNvPicPr/>
      </xdr:nvPicPr>
      <xdr:blipFill>
        <a:blip r:embed="rId430"/>
        <a:stretch>
          <a:fillRect/>
        </a:stretch>
      </xdr:blipFill>
      <xdr:spPr>
        <a:xfrm>
          <a:off x="0" y="0"/>
          <a:ext cx="1543050" cy="1076325"/>
        </a:xfrm>
        <a:prstGeom prst="rect">
          <a:avLst/>
        </a:prstGeom>
      </xdr:spPr>
    </xdr:pic>
  </etc:cellImage>
  <etc:cellImage>
    <xdr:pic>
      <xdr:nvPicPr>
        <xdr:cNvPr id="320" name="ID_63E466FBB8BD44B083B60400B5B8072A" descr="core_image_url__exec_download_186816352"/>
        <xdr:cNvPicPr/>
      </xdr:nvPicPr>
      <xdr:blipFill>
        <a:blip r:embed="rId431"/>
        <a:stretch>
          <a:fillRect/>
        </a:stretch>
      </xdr:blipFill>
      <xdr:spPr>
        <a:xfrm>
          <a:off x="0" y="0"/>
          <a:ext cx="2609850" cy="1085850"/>
        </a:xfrm>
        <a:prstGeom prst="rect">
          <a:avLst/>
        </a:prstGeom>
      </xdr:spPr>
    </xdr:pic>
  </etc:cellImage>
  <etc:cellImage>
    <xdr:pic>
      <xdr:nvPicPr>
        <xdr:cNvPr id="323" name="ID_7467F63D43744AFBB9D07683D88C5E4A" descr="core_image_url__exec_download_1535850629"/>
        <xdr:cNvPicPr/>
      </xdr:nvPicPr>
      <xdr:blipFill>
        <a:blip r:embed="rId432"/>
        <a:stretch>
          <a:fillRect/>
        </a:stretch>
      </xdr:blipFill>
      <xdr:spPr>
        <a:xfrm>
          <a:off x="0" y="0"/>
          <a:ext cx="1038225" cy="838200"/>
        </a:xfrm>
        <a:prstGeom prst="rect">
          <a:avLst/>
        </a:prstGeom>
      </xdr:spPr>
    </xdr:pic>
  </etc:cellImage>
  <etc:cellImage>
    <xdr:pic>
      <xdr:nvPicPr>
        <xdr:cNvPr id="327" name="ID_75AF365889864EFE9D23874FC42D5A57" descr="core_image_url__exec_download_1543728045"/>
        <xdr:cNvPicPr/>
      </xdr:nvPicPr>
      <xdr:blipFill>
        <a:blip r:embed="rId433"/>
        <a:stretch>
          <a:fillRect/>
        </a:stretch>
      </xdr:blipFill>
      <xdr:spPr>
        <a:xfrm>
          <a:off x="0" y="0"/>
          <a:ext cx="4381500" cy="628650"/>
        </a:xfrm>
        <a:prstGeom prst="rect">
          <a:avLst/>
        </a:prstGeom>
      </xdr:spPr>
    </xdr:pic>
  </etc:cellImage>
  <etc:cellImage>
    <xdr:pic>
      <xdr:nvPicPr>
        <xdr:cNvPr id="328" name="ID_E182AF5DBC3E44A09C763FF3F6A0D0D4" descr="core_image_url__exec_download_209019088"/>
        <xdr:cNvPicPr/>
      </xdr:nvPicPr>
      <xdr:blipFill>
        <a:blip r:embed="rId434"/>
        <a:stretch>
          <a:fillRect/>
        </a:stretch>
      </xdr:blipFill>
      <xdr:spPr>
        <a:xfrm>
          <a:off x="0" y="0"/>
          <a:ext cx="542925" cy="476250"/>
        </a:xfrm>
        <a:prstGeom prst="rect">
          <a:avLst/>
        </a:prstGeom>
      </xdr:spPr>
    </xdr:pic>
  </etc:cellImage>
  <etc:cellImage>
    <xdr:pic>
      <xdr:nvPicPr>
        <xdr:cNvPr id="331" name="ID_7713A9F7079B48BB8431270354DBD862" descr="core_image_url__exec_download_4031063384"/>
        <xdr:cNvPicPr/>
      </xdr:nvPicPr>
      <xdr:blipFill>
        <a:blip r:embed="rId421"/>
        <a:stretch>
          <a:fillRect/>
        </a:stretch>
      </xdr:blipFill>
      <xdr:spPr>
        <a:xfrm>
          <a:off x="0" y="0"/>
          <a:ext cx="609600" cy="762000"/>
        </a:xfrm>
        <a:prstGeom prst="rect">
          <a:avLst/>
        </a:prstGeom>
      </xdr:spPr>
    </xdr:pic>
  </etc:cellImage>
  <etc:cellImage>
    <xdr:pic>
      <xdr:nvPicPr>
        <xdr:cNvPr id="332" name="ID_88DFCE459E0949498855A37AAAC9E48D" descr="core_image_url__exec_download_1046131332"/>
        <xdr:cNvPicPr/>
      </xdr:nvPicPr>
      <xdr:blipFill>
        <a:blip r:embed="rId435"/>
        <a:stretch>
          <a:fillRect/>
        </a:stretch>
      </xdr:blipFill>
      <xdr:spPr>
        <a:xfrm>
          <a:off x="0" y="0"/>
          <a:ext cx="1390650" cy="2019300"/>
        </a:xfrm>
        <a:prstGeom prst="rect">
          <a:avLst/>
        </a:prstGeom>
      </xdr:spPr>
    </xdr:pic>
  </etc:cellImage>
  <etc:cellImage>
    <xdr:pic>
      <xdr:nvPicPr>
        <xdr:cNvPr id="346" name="ID_11CE00CC58C546FFA5DF1156AE0B29EB" descr="core_image_url__exec_download_1088757328"/>
        <xdr:cNvPicPr/>
      </xdr:nvPicPr>
      <xdr:blipFill>
        <a:blip r:embed="rId436"/>
        <a:stretch>
          <a:fillRect/>
        </a:stretch>
      </xdr:blipFill>
      <xdr:spPr>
        <a:xfrm>
          <a:off x="0" y="0"/>
          <a:ext cx="3314700" cy="1885950"/>
        </a:xfrm>
        <a:prstGeom prst="rect">
          <a:avLst/>
        </a:prstGeom>
      </xdr:spPr>
    </xdr:pic>
  </etc:cellImage>
  <etc:cellImage>
    <xdr:pic>
      <xdr:nvPicPr>
        <xdr:cNvPr id="351" name="ID_25A48BBF509F44B0A7FCE1AE47FDD486" descr="core_image_url__exec_download_2888953876"/>
        <xdr:cNvPicPr/>
      </xdr:nvPicPr>
      <xdr:blipFill>
        <a:blip r:embed="rId437"/>
        <a:stretch>
          <a:fillRect/>
        </a:stretch>
      </xdr:blipFill>
      <xdr:spPr>
        <a:xfrm>
          <a:off x="0" y="0"/>
          <a:ext cx="1009650" cy="933450"/>
        </a:xfrm>
        <a:prstGeom prst="rect">
          <a:avLst/>
        </a:prstGeom>
      </xdr:spPr>
    </xdr:pic>
  </etc:cellImage>
  <etc:cellImage>
    <xdr:pic>
      <xdr:nvPicPr>
        <xdr:cNvPr id="352" name="ID_69F975F78DDB4333BBFB4C1021EEC516" descr="core_image_url__exec_download_923700428"/>
        <xdr:cNvPicPr/>
      </xdr:nvPicPr>
      <xdr:blipFill>
        <a:blip r:embed="rId438"/>
        <a:stretch>
          <a:fillRect/>
        </a:stretch>
      </xdr:blipFill>
      <xdr:spPr>
        <a:xfrm>
          <a:off x="0" y="0"/>
          <a:ext cx="1771650" cy="1447800"/>
        </a:xfrm>
        <a:prstGeom prst="rect">
          <a:avLst/>
        </a:prstGeom>
      </xdr:spPr>
    </xdr:pic>
  </etc:cellImage>
  <etc:cellImage>
    <xdr:pic>
      <xdr:nvPicPr>
        <xdr:cNvPr id="354" name="ID_7FE87912D51B4A6BB027300B5EE32770" descr="core_image_url__exec_download_1842805030"/>
        <xdr:cNvPicPr/>
      </xdr:nvPicPr>
      <xdr:blipFill>
        <a:blip r:embed="rId439"/>
        <a:stretch>
          <a:fillRect/>
        </a:stretch>
      </xdr:blipFill>
      <xdr:spPr>
        <a:xfrm>
          <a:off x="0" y="0"/>
          <a:ext cx="1466850" cy="1333500"/>
        </a:xfrm>
        <a:prstGeom prst="rect">
          <a:avLst/>
        </a:prstGeom>
      </xdr:spPr>
    </xdr:pic>
  </etc:cellImage>
  <etc:cellImage>
    <xdr:pic>
      <xdr:nvPicPr>
        <xdr:cNvPr id="373" name="ID_29CF52B8E9554AE1806A51E2479AA8F4" descr="core_image_url__exec_download_666819990"/>
        <xdr:cNvPicPr/>
      </xdr:nvPicPr>
      <xdr:blipFill>
        <a:blip r:embed="rId440"/>
        <a:stretch>
          <a:fillRect/>
        </a:stretch>
      </xdr:blipFill>
      <xdr:spPr>
        <a:xfrm>
          <a:off x="0" y="0"/>
          <a:ext cx="1581150" cy="1295400"/>
        </a:xfrm>
        <a:prstGeom prst="rect">
          <a:avLst/>
        </a:prstGeom>
      </xdr:spPr>
    </xdr:pic>
  </etc:cellImage>
  <etc:cellImage>
    <xdr:pic>
      <xdr:nvPicPr>
        <xdr:cNvPr id="401" name="ID_DDBE2F3EC71844D2943759491E52935F" descr="core_image_url__exec_download_2146209051"/>
        <xdr:cNvPicPr/>
      </xdr:nvPicPr>
      <xdr:blipFill>
        <a:blip r:embed="rId441"/>
        <a:stretch>
          <a:fillRect/>
        </a:stretch>
      </xdr:blipFill>
      <xdr:spPr>
        <a:xfrm>
          <a:off x="0" y="0"/>
          <a:ext cx="1581150" cy="1695450"/>
        </a:xfrm>
        <a:prstGeom prst="rect">
          <a:avLst/>
        </a:prstGeom>
      </xdr:spPr>
    </xdr:pic>
  </etc:cellImage>
  <etc:cellImage>
    <xdr:pic>
      <xdr:nvPicPr>
        <xdr:cNvPr id="438" name="ID_F8AE1ABA2B8742C1A3E46810A4B6052B" descr="core_image_url__exec_download_2249909182"/>
        <xdr:cNvPicPr/>
      </xdr:nvPicPr>
      <xdr:blipFill>
        <a:blip r:embed="rId442"/>
        <a:stretch>
          <a:fillRect/>
        </a:stretch>
      </xdr:blipFill>
      <xdr:spPr>
        <a:xfrm>
          <a:off x="0" y="0"/>
          <a:ext cx="3810000" cy="3810000"/>
        </a:xfrm>
        <a:prstGeom prst="rect">
          <a:avLst/>
        </a:prstGeom>
      </xdr:spPr>
    </xdr:pic>
  </etc:cellImage>
  <etc:cellImage>
    <xdr:pic>
      <xdr:nvPicPr>
        <xdr:cNvPr id="454" name="ID_D38D893329D54AC9B5B1CE8A7A417480" descr="core_image_url__exec_download_1139890720"/>
        <xdr:cNvPicPr/>
      </xdr:nvPicPr>
      <xdr:blipFill>
        <a:blip r:embed="rId443"/>
        <a:stretch>
          <a:fillRect/>
        </a:stretch>
      </xdr:blipFill>
      <xdr:spPr>
        <a:xfrm>
          <a:off x="0" y="0"/>
          <a:ext cx="2419350" cy="847725"/>
        </a:xfrm>
        <a:prstGeom prst="rect">
          <a:avLst/>
        </a:prstGeom>
      </xdr:spPr>
    </xdr:pic>
  </etc:cellImage>
  <etc:cellImage>
    <xdr:pic>
      <xdr:nvPicPr>
        <xdr:cNvPr id="459" name="ID_137F27B8A7244B418B7586F06DDE1614" descr="core_image_url__exec_download_1764832269"/>
        <xdr:cNvPicPr/>
      </xdr:nvPicPr>
      <xdr:blipFill>
        <a:blip r:embed="rId444"/>
        <a:stretch>
          <a:fillRect/>
        </a:stretch>
      </xdr:blipFill>
      <xdr:spPr>
        <a:xfrm>
          <a:off x="0" y="0"/>
          <a:ext cx="1905000" cy="952500"/>
        </a:xfrm>
        <a:prstGeom prst="rect">
          <a:avLst/>
        </a:prstGeom>
      </xdr:spPr>
    </xdr:pic>
  </etc:cellImage>
  <etc:cellImage>
    <xdr:pic>
      <xdr:nvPicPr>
        <xdr:cNvPr id="460" name="ID_4F27394080B740EBA1B313D5AEC03862" descr="core_image_url__exec_download_410770847"/>
        <xdr:cNvPicPr/>
      </xdr:nvPicPr>
      <xdr:blipFill>
        <a:blip r:embed="rId445"/>
        <a:stretch>
          <a:fillRect/>
        </a:stretch>
      </xdr:blipFill>
      <xdr:spPr>
        <a:xfrm>
          <a:off x="0" y="0"/>
          <a:ext cx="1390650" cy="1466850"/>
        </a:xfrm>
        <a:prstGeom prst="rect">
          <a:avLst/>
        </a:prstGeom>
      </xdr:spPr>
    </xdr:pic>
  </etc:cellImage>
  <etc:cellImage>
    <xdr:pic>
      <xdr:nvPicPr>
        <xdr:cNvPr id="474" name="ID_D72F1262FC5F4D2393FE4C0D6236A7E4" descr="core_image_url__exec_download_1590715534"/>
        <xdr:cNvPicPr/>
      </xdr:nvPicPr>
      <xdr:blipFill>
        <a:blip r:embed="rId446"/>
        <a:stretch>
          <a:fillRect/>
        </a:stretch>
      </xdr:blipFill>
      <xdr:spPr>
        <a:xfrm>
          <a:off x="0" y="0"/>
          <a:ext cx="1257300" cy="1314450"/>
        </a:xfrm>
        <a:prstGeom prst="rect">
          <a:avLst/>
        </a:prstGeom>
      </xdr:spPr>
    </xdr:pic>
  </etc:cellImage>
  <etc:cellImage>
    <xdr:pic>
      <xdr:nvPicPr>
        <xdr:cNvPr id="485" name="ID_E7102994D0F6450D900C0DCB8A116F1D" descr="core_image_url__exec_download_3865639131"/>
        <xdr:cNvPicPr/>
      </xdr:nvPicPr>
      <xdr:blipFill>
        <a:blip r:embed="rId447"/>
        <a:stretch>
          <a:fillRect/>
        </a:stretch>
      </xdr:blipFill>
      <xdr:spPr>
        <a:xfrm>
          <a:off x="0" y="0"/>
          <a:ext cx="1790700" cy="1333500"/>
        </a:xfrm>
        <a:prstGeom prst="rect">
          <a:avLst/>
        </a:prstGeom>
      </xdr:spPr>
    </xdr:pic>
  </etc:cellImage>
  <etc:cellImage>
    <xdr:pic>
      <xdr:nvPicPr>
        <xdr:cNvPr id="486" name="ID_B366BD26FB0E446EA48E1BAC64066872" descr="core_image_url__exec_download_1324287570"/>
        <xdr:cNvPicPr/>
      </xdr:nvPicPr>
      <xdr:blipFill>
        <a:blip r:embed="rId448"/>
        <a:stretch>
          <a:fillRect/>
        </a:stretch>
      </xdr:blipFill>
      <xdr:spPr>
        <a:xfrm>
          <a:off x="0" y="0"/>
          <a:ext cx="1428750" cy="895350"/>
        </a:xfrm>
        <a:prstGeom prst="rect">
          <a:avLst/>
        </a:prstGeom>
      </xdr:spPr>
    </xdr:pic>
  </etc:cellImage>
  <etc:cellImage>
    <xdr:pic>
      <xdr:nvPicPr>
        <xdr:cNvPr id="524" name="ID_D153584A7A284534B85B53CA9CC2BB50" descr="core_image_url__exec_download_2471052416"/>
        <xdr:cNvPicPr/>
      </xdr:nvPicPr>
      <xdr:blipFill>
        <a:blip r:embed="rId449"/>
        <a:stretch>
          <a:fillRect/>
        </a:stretch>
      </xdr:blipFill>
      <xdr:spPr>
        <a:xfrm>
          <a:off x="0" y="0"/>
          <a:ext cx="1905000" cy="1295400"/>
        </a:xfrm>
        <a:prstGeom prst="rect">
          <a:avLst/>
        </a:prstGeom>
      </xdr:spPr>
    </xdr:pic>
  </etc:cellImage>
  <etc:cellImage>
    <xdr:pic>
      <xdr:nvPicPr>
        <xdr:cNvPr id="525" name="ID_FFC70D6A1596451C965EB6ADC1750B43" descr="core_image_url__exec_download_2129558483"/>
        <xdr:cNvPicPr/>
      </xdr:nvPicPr>
      <xdr:blipFill>
        <a:blip r:embed="rId450"/>
        <a:stretch>
          <a:fillRect/>
        </a:stretch>
      </xdr:blipFill>
      <xdr:spPr>
        <a:xfrm>
          <a:off x="0" y="0"/>
          <a:ext cx="2247900" cy="990600"/>
        </a:xfrm>
        <a:prstGeom prst="rect">
          <a:avLst/>
        </a:prstGeom>
      </xdr:spPr>
    </xdr:pic>
  </etc:cellImage>
  <etc:cellImage>
    <xdr:pic>
      <xdr:nvPicPr>
        <xdr:cNvPr id="528" name="ID_F56EC38F38254C61B6E932475C14E912" descr="core_image_url__exec_download_1603267686"/>
        <xdr:cNvPicPr/>
      </xdr:nvPicPr>
      <xdr:blipFill>
        <a:blip r:embed="rId451"/>
        <a:stretch>
          <a:fillRect/>
        </a:stretch>
      </xdr:blipFill>
      <xdr:spPr>
        <a:xfrm>
          <a:off x="0" y="0"/>
          <a:ext cx="1733550" cy="1028700"/>
        </a:xfrm>
        <a:prstGeom prst="rect">
          <a:avLst/>
        </a:prstGeom>
      </xdr:spPr>
    </xdr:pic>
  </etc:cellImage>
  <etc:cellImage>
    <xdr:pic>
      <xdr:nvPicPr>
        <xdr:cNvPr id="529" name="ID_3916F661AC894702B60000DB0B35C2C0" descr="core_image_url__exec_download_864318200"/>
        <xdr:cNvPicPr/>
      </xdr:nvPicPr>
      <xdr:blipFill>
        <a:blip r:embed="rId452"/>
        <a:stretch>
          <a:fillRect/>
        </a:stretch>
      </xdr:blipFill>
      <xdr:spPr>
        <a:xfrm>
          <a:off x="0" y="0"/>
          <a:ext cx="1466850" cy="1333500"/>
        </a:xfrm>
        <a:prstGeom prst="rect">
          <a:avLst/>
        </a:prstGeom>
      </xdr:spPr>
    </xdr:pic>
  </etc:cellImage>
  <etc:cellImage>
    <xdr:pic>
      <xdr:nvPicPr>
        <xdr:cNvPr id="530" name="ID_194B0ED21D694ADB9EB94585BE141CD6" descr="core_image_url__exec_download_3675238483"/>
        <xdr:cNvPicPr/>
      </xdr:nvPicPr>
      <xdr:blipFill>
        <a:blip r:embed="rId453"/>
        <a:stretch>
          <a:fillRect/>
        </a:stretch>
      </xdr:blipFill>
      <xdr:spPr>
        <a:xfrm>
          <a:off x="0" y="0"/>
          <a:ext cx="3219450" cy="1447800"/>
        </a:xfrm>
        <a:prstGeom prst="rect">
          <a:avLst/>
        </a:prstGeom>
      </xdr:spPr>
    </xdr:pic>
  </etc:cellImage>
  <etc:cellImage>
    <xdr:pic>
      <xdr:nvPicPr>
        <xdr:cNvPr id="563" name="ID_1284C49208514AA887685007090500C3" descr="core_image_url__exec_download_3436431369"/>
        <xdr:cNvPicPr/>
      </xdr:nvPicPr>
      <xdr:blipFill>
        <a:blip r:embed="rId454"/>
        <a:stretch>
          <a:fillRect/>
        </a:stretch>
      </xdr:blipFill>
      <xdr:spPr>
        <a:xfrm>
          <a:off x="0" y="0"/>
          <a:ext cx="1905000" cy="895350"/>
        </a:xfrm>
        <a:prstGeom prst="rect">
          <a:avLst/>
        </a:prstGeom>
      </xdr:spPr>
    </xdr:pic>
  </etc:cellImage>
  <etc:cellImage>
    <xdr:pic>
      <xdr:nvPicPr>
        <xdr:cNvPr id="4" name="ID_0696D9BAA3F6474E81D6B4F86629E059" descr="upload_post_object_v2_753844829"/>
        <xdr:cNvPicPr/>
      </xdr:nvPicPr>
      <xdr:blipFill>
        <a:blip r:embed="rId455"/>
        <a:stretch>
          <a:fillRect/>
        </a:stretch>
      </xdr:blipFill>
      <xdr:spPr>
        <a:xfrm>
          <a:off x="0" y="0"/>
          <a:ext cx="990600" cy="958850"/>
        </a:xfrm>
        <a:prstGeom prst="rect">
          <a:avLst/>
        </a:prstGeom>
      </xdr:spPr>
    </xdr:pic>
  </etc:cellImage>
  <etc:cellImage>
    <xdr:pic>
      <xdr:nvPicPr>
        <xdr:cNvPr id="9" name="ID_5C873F5C8E14444883DB566FB5593942" descr="upload_post_object_v2_2428914068"/>
        <xdr:cNvPicPr/>
      </xdr:nvPicPr>
      <xdr:blipFill>
        <a:blip r:embed="rId456"/>
        <a:stretch>
          <a:fillRect/>
        </a:stretch>
      </xdr:blipFill>
      <xdr:spPr>
        <a:xfrm>
          <a:off x="0" y="0"/>
          <a:ext cx="3230880" cy="2186940"/>
        </a:xfrm>
        <a:prstGeom prst="rect">
          <a:avLst/>
        </a:prstGeom>
      </xdr:spPr>
    </xdr:pic>
  </etc:cellImage>
  <etc:cellImage>
    <xdr:pic>
      <xdr:nvPicPr>
        <xdr:cNvPr id="25" name="ID_8CE1B54F8F3E49A59054273DACDCD3A0" descr="upload_post_object_v2_2341764017"/>
        <xdr:cNvPicPr/>
      </xdr:nvPicPr>
      <xdr:blipFill>
        <a:blip r:embed="rId457"/>
        <a:stretch>
          <a:fillRect/>
        </a:stretch>
      </xdr:blipFill>
      <xdr:spPr>
        <a:xfrm>
          <a:off x="0" y="0"/>
          <a:ext cx="2724150" cy="1885950"/>
        </a:xfrm>
        <a:prstGeom prst="rect">
          <a:avLst/>
        </a:prstGeom>
      </xdr:spPr>
    </xdr:pic>
  </etc:cellImage>
  <etc:cellImage>
    <xdr:pic>
      <xdr:nvPicPr>
        <xdr:cNvPr id="27" name="ID_42E26F358BA141CA9B594DDE013EC113" descr="upload_post_object_v2_4112143532"/>
        <xdr:cNvPicPr/>
      </xdr:nvPicPr>
      <xdr:blipFill>
        <a:blip r:embed="rId458"/>
        <a:stretch>
          <a:fillRect/>
        </a:stretch>
      </xdr:blipFill>
      <xdr:spPr>
        <a:xfrm>
          <a:off x="0" y="0"/>
          <a:ext cx="1295400" cy="1047750"/>
        </a:xfrm>
        <a:prstGeom prst="rect">
          <a:avLst/>
        </a:prstGeom>
      </xdr:spPr>
    </xdr:pic>
  </etc:cellImage>
  <etc:cellImage>
    <xdr:pic>
      <xdr:nvPicPr>
        <xdr:cNvPr id="28" name="ID_C5B3F0A41B6D44BAB65CC1DEFEB8F75B" descr="upload_post_object_v2_251944569"/>
        <xdr:cNvPicPr/>
      </xdr:nvPicPr>
      <xdr:blipFill>
        <a:blip r:embed="rId459"/>
        <a:stretch>
          <a:fillRect/>
        </a:stretch>
      </xdr:blipFill>
      <xdr:spPr>
        <a:xfrm>
          <a:off x="0" y="0"/>
          <a:ext cx="1320800" cy="1282700"/>
        </a:xfrm>
        <a:prstGeom prst="rect">
          <a:avLst/>
        </a:prstGeom>
      </xdr:spPr>
    </xdr:pic>
  </etc:cellImage>
  <etc:cellImage>
    <xdr:pic>
      <xdr:nvPicPr>
        <xdr:cNvPr id="29" name="ID_D2748909D2EB42BD93D892E4A9A4B8F9" descr="upload_post_object_v2_3967815196"/>
        <xdr:cNvPicPr/>
      </xdr:nvPicPr>
      <xdr:blipFill>
        <a:blip r:embed="rId460"/>
        <a:stretch>
          <a:fillRect/>
        </a:stretch>
      </xdr:blipFill>
      <xdr:spPr>
        <a:xfrm>
          <a:off x="0" y="0"/>
          <a:ext cx="1581150" cy="1104900"/>
        </a:xfrm>
        <a:prstGeom prst="rect">
          <a:avLst/>
        </a:prstGeom>
      </xdr:spPr>
    </xdr:pic>
  </etc:cellImage>
  <etc:cellImage>
    <xdr:pic>
      <xdr:nvPicPr>
        <xdr:cNvPr id="30" name="ID_E4D895DCFAE44BD4AD4C9164BCA32830" descr="upload_post_object_v2_1450459208"/>
        <xdr:cNvPicPr/>
      </xdr:nvPicPr>
      <xdr:blipFill>
        <a:blip r:embed="rId461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</etc:cellImage>
  <etc:cellImage>
    <xdr:pic>
      <xdr:nvPicPr>
        <xdr:cNvPr id="34" name="ID_89867A2ED92A4096B8B32B30A5141A01" descr="upload_post_object_v2_3643642741"/>
        <xdr:cNvPicPr/>
      </xdr:nvPicPr>
      <xdr:blipFill>
        <a:blip r:embed="rId462"/>
        <a:stretch>
          <a:fillRect/>
        </a:stretch>
      </xdr:blipFill>
      <xdr:spPr>
        <a:xfrm>
          <a:off x="0" y="0"/>
          <a:ext cx="501650" cy="501650"/>
        </a:xfrm>
        <a:prstGeom prst="rect">
          <a:avLst/>
        </a:prstGeom>
      </xdr:spPr>
    </xdr:pic>
  </etc:cellImage>
  <etc:cellImage>
    <xdr:pic>
      <xdr:nvPicPr>
        <xdr:cNvPr id="39" name="ID_E3649B6AF8EF410781B003F342C7478E" descr="upload_post_object_v2_3489928637"/>
        <xdr:cNvPicPr/>
      </xdr:nvPicPr>
      <xdr:blipFill>
        <a:blip r:embed="rId463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</etc:cellImage>
  <etc:cellImage>
    <xdr:pic>
      <xdr:nvPicPr>
        <xdr:cNvPr id="40" name="ID_22FA65296B174D08AEC6CD4D9EC60763" descr="upload_post_object_v2_3294812461"/>
        <xdr:cNvPicPr/>
      </xdr:nvPicPr>
      <xdr:blipFill>
        <a:blip r:embed="rId464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</etc:cellImage>
  <etc:cellImage>
    <xdr:pic>
      <xdr:nvPicPr>
        <xdr:cNvPr id="41" name="ID_2B82E4C721E947B980CA4913A7F995C8" descr="upload_post_object_v2_4024085838"/>
        <xdr:cNvPicPr/>
      </xdr:nvPicPr>
      <xdr:blipFill>
        <a:blip r:embed="rId465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</etc:cellImage>
  <etc:cellImage>
    <xdr:pic>
      <xdr:nvPicPr>
        <xdr:cNvPr id="42" name="ID_0330D3E613FB4C2BA044B2FEBFF82D6C" descr="upload_post_object_v2_1349476992"/>
        <xdr:cNvPicPr/>
      </xdr:nvPicPr>
      <xdr:blipFill>
        <a:blip r:embed="rId466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</etc:cellImage>
  <etc:cellImage>
    <xdr:pic>
      <xdr:nvPicPr>
        <xdr:cNvPr id="43" name="ID_2550CA6E8E5B47B0A1A6FD2559C207F0" descr="upload_post_object_v2_2785834128"/>
        <xdr:cNvPicPr/>
      </xdr:nvPicPr>
      <xdr:blipFill>
        <a:blip r:embed="rId467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</etc:cellImage>
  <etc:cellImage>
    <xdr:pic>
      <xdr:nvPicPr>
        <xdr:cNvPr id="56" name="ID_5A1610F6746B4580B7155395AA920309" descr="upload_post_object_v2_2955800521"/>
        <xdr:cNvPicPr/>
      </xdr:nvPicPr>
      <xdr:blipFill>
        <a:blip r:embed="rId468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</etc:cellImage>
  <etc:cellImage>
    <xdr:pic>
      <xdr:nvPicPr>
        <xdr:cNvPr id="69" name="ID_F190B8A0804B47E990C9A632B4905BDF" descr="upload_post_object_v2_2933631532"/>
        <xdr:cNvPicPr/>
      </xdr:nvPicPr>
      <xdr:blipFill>
        <a:blip r:embed="rId469"/>
        <a:stretch>
          <a:fillRect/>
        </a:stretch>
      </xdr:blipFill>
      <xdr:spPr>
        <a:xfrm>
          <a:off x="0" y="0"/>
          <a:ext cx="463550" cy="434975"/>
        </a:xfrm>
        <a:prstGeom prst="rect">
          <a:avLst/>
        </a:prstGeom>
      </xdr:spPr>
    </xdr:pic>
  </etc:cellImage>
  <etc:cellImage>
    <xdr:pic>
      <xdr:nvPicPr>
        <xdr:cNvPr id="91" name="ID_6ADF6AFDD27145FA9E77F1958700FAFD" descr="upload_post_object_v2_1884007740"/>
        <xdr:cNvPicPr/>
      </xdr:nvPicPr>
      <xdr:blipFill>
        <a:blip r:embed="rId470"/>
        <a:stretch>
          <a:fillRect/>
        </a:stretch>
      </xdr:blipFill>
      <xdr:spPr>
        <a:xfrm>
          <a:off x="0" y="0"/>
          <a:ext cx="1158875" cy="1158875"/>
        </a:xfrm>
        <a:prstGeom prst="rect">
          <a:avLst/>
        </a:prstGeom>
      </xdr:spPr>
    </xdr:pic>
  </etc:cellImage>
  <etc:cellImage>
    <xdr:pic>
      <xdr:nvPicPr>
        <xdr:cNvPr id="95" name="ID_74D7F688B3B444FF8AC661EE384C966F" descr="upload_post_object_v2_561129953"/>
        <xdr:cNvPicPr/>
      </xdr:nvPicPr>
      <xdr:blipFill>
        <a:blip r:embed="rId471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</etc:cellImage>
  <etc:cellImage>
    <xdr:pic>
      <xdr:nvPicPr>
        <xdr:cNvPr id="96" name="ID_CB45C109264F4E1BB3F1CC747A5A6BF3" descr="upload_post_object_v2_3123221746"/>
        <xdr:cNvPicPr/>
      </xdr:nvPicPr>
      <xdr:blipFill>
        <a:blip r:embed="rId472"/>
        <a:stretch>
          <a:fillRect/>
        </a:stretch>
      </xdr:blipFill>
      <xdr:spPr>
        <a:xfrm>
          <a:off x="0" y="0"/>
          <a:ext cx="1276350" cy="654050"/>
        </a:xfrm>
        <a:prstGeom prst="rect">
          <a:avLst/>
        </a:prstGeom>
      </xdr:spPr>
    </xdr:pic>
  </etc:cellImage>
  <etc:cellImage>
    <xdr:pic>
      <xdr:nvPicPr>
        <xdr:cNvPr id="109" name="ID_F78445DFED914258A4679F7AAFC65D86" descr="upload_post_object_v2_372481818"/>
        <xdr:cNvPicPr/>
      </xdr:nvPicPr>
      <xdr:blipFill>
        <a:blip r:embed="rId473"/>
        <a:stretch>
          <a:fillRect/>
        </a:stretch>
      </xdr:blipFill>
      <xdr:spPr>
        <a:xfrm>
          <a:off x="0" y="0"/>
          <a:ext cx="1720850" cy="800100"/>
        </a:xfrm>
        <a:prstGeom prst="rect">
          <a:avLst/>
        </a:prstGeom>
      </xdr:spPr>
    </xdr:pic>
  </etc:cellImage>
  <etc:cellImage>
    <xdr:pic>
      <xdr:nvPicPr>
        <xdr:cNvPr id="110" name="ID_2611942B271F4361B5552DEAD9C6205A" descr="upload_post_object_v2_3019577833"/>
        <xdr:cNvPicPr/>
      </xdr:nvPicPr>
      <xdr:blipFill>
        <a:blip r:embed="rId474"/>
        <a:stretch>
          <a:fillRect/>
        </a:stretch>
      </xdr:blipFill>
      <xdr:spPr>
        <a:xfrm>
          <a:off x="0" y="0"/>
          <a:ext cx="850900" cy="495300"/>
        </a:xfrm>
        <a:prstGeom prst="rect">
          <a:avLst/>
        </a:prstGeom>
      </xdr:spPr>
    </xdr:pic>
  </etc:cellImage>
  <etc:cellImage>
    <xdr:pic>
      <xdr:nvPicPr>
        <xdr:cNvPr id="117" name="ID_1B3ADFF1AC3F4C46AC664161C05079DC" descr="upload_post_object_v2_795862871"/>
        <xdr:cNvPicPr/>
      </xdr:nvPicPr>
      <xdr:blipFill>
        <a:blip r:embed="rId475"/>
        <a:stretch>
          <a:fillRect/>
        </a:stretch>
      </xdr:blipFill>
      <xdr:spPr>
        <a:xfrm>
          <a:off x="0" y="0"/>
          <a:ext cx="279400" cy="292100"/>
        </a:xfrm>
        <a:prstGeom prst="rect">
          <a:avLst/>
        </a:prstGeom>
      </xdr:spPr>
    </xdr:pic>
  </etc:cellImage>
  <etc:cellImage>
    <xdr:pic>
      <xdr:nvPicPr>
        <xdr:cNvPr id="118" name="ID_CD5EC99DCD524E40A50BFDB1EE1E7E9A" descr="upload_post_object_v2_2875482693"/>
        <xdr:cNvPicPr/>
      </xdr:nvPicPr>
      <xdr:blipFill>
        <a:blip r:embed="rId476"/>
        <a:stretch>
          <a:fillRect/>
        </a:stretch>
      </xdr:blipFill>
      <xdr:spPr>
        <a:xfrm>
          <a:off x="0" y="0"/>
          <a:ext cx="927100" cy="711200"/>
        </a:xfrm>
        <a:prstGeom prst="rect">
          <a:avLst/>
        </a:prstGeom>
      </xdr:spPr>
    </xdr:pic>
  </etc:cellImage>
  <etc:cellImage>
    <xdr:pic>
      <xdr:nvPicPr>
        <xdr:cNvPr id="127" name="ID_3C00E7EEC02F4E8DAFF0B3100F09859A" descr="upload_post_object_v2_2626991222"/>
        <xdr:cNvPicPr/>
      </xdr:nvPicPr>
      <xdr:blipFill>
        <a:blip r:embed="rId477"/>
        <a:stretch>
          <a:fillRect/>
        </a:stretch>
      </xdr:blipFill>
      <xdr:spPr>
        <a:xfrm>
          <a:off x="0" y="0"/>
          <a:ext cx="1828800" cy="469900"/>
        </a:xfrm>
        <a:prstGeom prst="rect">
          <a:avLst/>
        </a:prstGeom>
      </xdr:spPr>
    </xdr:pic>
  </etc:cellImage>
  <etc:cellImage>
    <xdr:pic>
      <xdr:nvPicPr>
        <xdr:cNvPr id="129" name="ID_CF3192D76EBE480E950D4801E9ADB145" descr="upload_post_object_v2_3444441190"/>
        <xdr:cNvPicPr/>
      </xdr:nvPicPr>
      <xdr:blipFill>
        <a:blip r:embed="rId478"/>
        <a:stretch>
          <a:fillRect/>
        </a:stretch>
      </xdr:blipFill>
      <xdr:spPr>
        <a:xfrm>
          <a:off x="0" y="0"/>
          <a:ext cx="8909050" cy="1130300"/>
        </a:xfrm>
        <a:prstGeom prst="rect">
          <a:avLst/>
        </a:prstGeom>
      </xdr:spPr>
    </xdr:pic>
  </etc:cellImage>
  <etc:cellImage>
    <xdr:pic>
      <xdr:nvPicPr>
        <xdr:cNvPr id="132" name="ID_AB7E26F576F744BB991EAC81E40025AE" descr="upload_post_object_v2_4144145447"/>
        <xdr:cNvPicPr/>
      </xdr:nvPicPr>
      <xdr:blipFill>
        <a:blip r:embed="rId479"/>
        <a:stretch>
          <a:fillRect/>
        </a:stretch>
      </xdr:blipFill>
      <xdr:spPr>
        <a:xfrm>
          <a:off x="0" y="0"/>
          <a:ext cx="927100" cy="876300"/>
        </a:xfrm>
        <a:prstGeom prst="rect">
          <a:avLst/>
        </a:prstGeom>
      </xdr:spPr>
    </xdr:pic>
  </etc:cellImage>
  <etc:cellImage>
    <xdr:pic>
      <xdr:nvPicPr>
        <xdr:cNvPr id="133" name="ID_35BB982A888947C68C66E1D50A6D4730" descr="upload_post_object_v2_847721008"/>
        <xdr:cNvPicPr/>
      </xdr:nvPicPr>
      <xdr:blipFill>
        <a:blip r:embed="rId480"/>
        <a:stretch>
          <a:fillRect/>
        </a:stretch>
      </xdr:blipFill>
      <xdr:spPr>
        <a:xfrm>
          <a:off x="0" y="0"/>
          <a:ext cx="2603500" cy="1123950"/>
        </a:xfrm>
        <a:prstGeom prst="rect">
          <a:avLst/>
        </a:prstGeom>
      </xdr:spPr>
    </xdr:pic>
  </etc:cellImage>
  <etc:cellImage>
    <xdr:pic>
      <xdr:nvPicPr>
        <xdr:cNvPr id="135" name="ID_E61B0B75C7DD445492D5B807DAC2E92A" descr="upload_post_object_v2_2390031281"/>
        <xdr:cNvPicPr/>
      </xdr:nvPicPr>
      <xdr:blipFill>
        <a:blip r:embed="rId481"/>
        <a:stretch>
          <a:fillRect/>
        </a:stretch>
      </xdr:blipFill>
      <xdr:spPr>
        <a:xfrm>
          <a:off x="0" y="0"/>
          <a:ext cx="755650" cy="234950"/>
        </a:xfrm>
        <a:prstGeom prst="rect">
          <a:avLst/>
        </a:prstGeom>
      </xdr:spPr>
    </xdr:pic>
  </etc:cellImage>
  <etc:cellImage>
    <xdr:pic>
      <xdr:nvPicPr>
        <xdr:cNvPr id="136" name="ID_FF607DE2383946A082645266206A7791" descr="upload_post_object_v2_954565217"/>
        <xdr:cNvPicPr/>
      </xdr:nvPicPr>
      <xdr:blipFill>
        <a:blip r:embed="rId482"/>
        <a:stretch>
          <a:fillRect/>
        </a:stretch>
      </xdr:blipFill>
      <xdr:spPr>
        <a:xfrm>
          <a:off x="0" y="0"/>
          <a:ext cx="952500" cy="850900"/>
        </a:xfrm>
        <a:prstGeom prst="rect">
          <a:avLst/>
        </a:prstGeom>
      </xdr:spPr>
    </xdr:pic>
  </etc:cellImage>
  <etc:cellImage>
    <xdr:pic>
      <xdr:nvPicPr>
        <xdr:cNvPr id="137" name="ID_49AE10BFAC2C48878D9410E542621286" descr="upload_post_object_v2_120588100"/>
        <xdr:cNvPicPr/>
      </xdr:nvPicPr>
      <xdr:blipFill>
        <a:blip r:embed="rId483"/>
        <a:stretch>
          <a:fillRect/>
        </a:stretch>
      </xdr:blipFill>
      <xdr:spPr>
        <a:xfrm>
          <a:off x="0" y="0"/>
          <a:ext cx="1308100" cy="876300"/>
        </a:xfrm>
        <a:prstGeom prst="rect">
          <a:avLst/>
        </a:prstGeom>
      </xdr:spPr>
    </xdr:pic>
  </etc:cellImage>
  <etc:cellImage>
    <xdr:pic>
      <xdr:nvPicPr>
        <xdr:cNvPr id="138" name="ID_3EA3D22E74A047CFBAE42BE985EB34C9" descr="upload_post_object_v2_4005036929"/>
        <xdr:cNvPicPr/>
      </xdr:nvPicPr>
      <xdr:blipFill>
        <a:blip r:embed="rId484"/>
        <a:stretch>
          <a:fillRect/>
        </a:stretch>
      </xdr:blipFill>
      <xdr:spPr>
        <a:xfrm>
          <a:off x="0" y="0"/>
          <a:ext cx="1371600" cy="558800"/>
        </a:xfrm>
        <a:prstGeom prst="rect">
          <a:avLst/>
        </a:prstGeom>
      </xdr:spPr>
    </xdr:pic>
  </etc:cellImage>
  <etc:cellImage>
    <xdr:pic>
      <xdr:nvPicPr>
        <xdr:cNvPr id="144" name="ID_D2950FBADF224635940781E9107CBA44" descr="upload_post_object_v2_3902045837"/>
        <xdr:cNvPicPr/>
      </xdr:nvPicPr>
      <xdr:blipFill>
        <a:blip r:embed="rId485"/>
        <a:stretch>
          <a:fillRect/>
        </a:stretch>
      </xdr:blipFill>
      <xdr:spPr>
        <a:xfrm>
          <a:off x="0" y="0"/>
          <a:ext cx="1371600" cy="844550"/>
        </a:xfrm>
        <a:prstGeom prst="rect">
          <a:avLst/>
        </a:prstGeom>
      </xdr:spPr>
    </xdr:pic>
  </etc:cellImage>
  <etc:cellImage>
    <xdr:pic>
      <xdr:nvPicPr>
        <xdr:cNvPr id="145" name="ID_938D21DD8B804266954E2EEF786225DE" descr="upload_post_object_v2_3678608847"/>
        <xdr:cNvPicPr/>
      </xdr:nvPicPr>
      <xdr:blipFill>
        <a:blip r:embed="rId486"/>
        <a:stretch>
          <a:fillRect/>
        </a:stretch>
      </xdr:blipFill>
      <xdr:spPr>
        <a:xfrm>
          <a:off x="0" y="0"/>
          <a:ext cx="596900" cy="215900"/>
        </a:xfrm>
        <a:prstGeom prst="rect">
          <a:avLst/>
        </a:prstGeom>
      </xdr:spPr>
    </xdr:pic>
  </etc:cellImage>
  <etc:cellImage>
    <xdr:pic>
      <xdr:nvPicPr>
        <xdr:cNvPr id="147" name="ID_963CEB56544641038003FF9B33FE7AF7" descr="upload_post_object_v2_4119430846"/>
        <xdr:cNvPicPr/>
      </xdr:nvPicPr>
      <xdr:blipFill>
        <a:blip r:embed="rId487"/>
        <a:stretch>
          <a:fillRect/>
        </a:stretch>
      </xdr:blipFill>
      <xdr:spPr>
        <a:xfrm>
          <a:off x="0" y="0"/>
          <a:ext cx="1676400" cy="1219200"/>
        </a:xfrm>
        <a:prstGeom prst="rect">
          <a:avLst/>
        </a:prstGeom>
      </xdr:spPr>
    </xdr:pic>
  </etc:cellImage>
  <etc:cellImage>
    <xdr:pic>
      <xdr:nvPicPr>
        <xdr:cNvPr id="148" name="ID_4635FF210EA6472AB5C1A96B2106E988" descr="upload_post_object_v2_758419115"/>
        <xdr:cNvPicPr/>
      </xdr:nvPicPr>
      <xdr:blipFill>
        <a:blip r:embed="rId488"/>
        <a:stretch>
          <a:fillRect/>
        </a:stretch>
      </xdr:blipFill>
      <xdr:spPr>
        <a:xfrm>
          <a:off x="0" y="0"/>
          <a:ext cx="1784985" cy="1360805"/>
        </a:xfrm>
        <a:prstGeom prst="rect">
          <a:avLst/>
        </a:prstGeom>
      </xdr:spPr>
    </xdr:pic>
  </etc:cellImage>
  <etc:cellImage>
    <xdr:pic>
      <xdr:nvPicPr>
        <xdr:cNvPr id="149" name="ID_9BBD47968CF14F839D34925412F737F3" descr="upload_post_object_v2_2682712428"/>
        <xdr:cNvPicPr/>
      </xdr:nvPicPr>
      <xdr:blipFill>
        <a:blip r:embed="rId489"/>
        <a:stretch>
          <a:fillRect/>
        </a:stretch>
      </xdr:blipFill>
      <xdr:spPr>
        <a:xfrm>
          <a:off x="0" y="0"/>
          <a:ext cx="1453515" cy="903605"/>
        </a:xfrm>
        <a:prstGeom prst="rect">
          <a:avLst/>
        </a:prstGeom>
      </xdr:spPr>
    </xdr:pic>
  </etc:cellImage>
  <etc:cellImage>
    <xdr:pic>
      <xdr:nvPicPr>
        <xdr:cNvPr id="150" name="ID_63B3EB77EA7A4F7CB07AFA29398407C2" descr="upload_post_object_v2_2712205520"/>
        <xdr:cNvPicPr/>
      </xdr:nvPicPr>
      <xdr:blipFill>
        <a:blip r:embed="rId490"/>
        <a:stretch>
          <a:fillRect/>
        </a:stretch>
      </xdr:blipFill>
      <xdr:spPr>
        <a:xfrm>
          <a:off x="0" y="0"/>
          <a:ext cx="749300" cy="514350"/>
        </a:xfrm>
        <a:prstGeom prst="rect">
          <a:avLst/>
        </a:prstGeom>
      </xdr:spPr>
    </xdr:pic>
  </etc:cellImage>
  <etc:cellImage>
    <xdr:pic>
      <xdr:nvPicPr>
        <xdr:cNvPr id="151" name="ID_8C4368F689A443099CB6E1366F42AE89" descr="upload_post_object_v2_379164517"/>
        <xdr:cNvPicPr/>
      </xdr:nvPicPr>
      <xdr:blipFill>
        <a:blip r:embed="rId491"/>
        <a:stretch>
          <a:fillRect/>
        </a:stretch>
      </xdr:blipFill>
      <xdr:spPr>
        <a:xfrm>
          <a:off x="0" y="0"/>
          <a:ext cx="1339215" cy="958215"/>
        </a:xfrm>
        <a:prstGeom prst="rect">
          <a:avLst/>
        </a:prstGeom>
      </xdr:spPr>
    </xdr:pic>
  </etc:cellImage>
  <etc:cellImage>
    <xdr:pic>
      <xdr:nvPicPr>
        <xdr:cNvPr id="152" name="ID_E0213EC21ECE4C8DB0FEFE72C67BBF31" descr="upload_post_object_v2_1398037279"/>
        <xdr:cNvPicPr/>
      </xdr:nvPicPr>
      <xdr:blipFill>
        <a:blip r:embed="rId492"/>
        <a:stretch>
          <a:fillRect/>
        </a:stretch>
      </xdr:blipFill>
      <xdr:spPr>
        <a:xfrm>
          <a:off x="0" y="0"/>
          <a:ext cx="1638300" cy="981075"/>
        </a:xfrm>
        <a:prstGeom prst="rect">
          <a:avLst/>
        </a:prstGeom>
      </xdr:spPr>
    </xdr:pic>
  </etc:cellImage>
  <etc:cellImage>
    <xdr:pic>
      <xdr:nvPicPr>
        <xdr:cNvPr id="153" name="ID_64175DFE4F2D413F87A11890F0283F8B" descr="upload_post_object_v2_704355545"/>
        <xdr:cNvPicPr/>
      </xdr:nvPicPr>
      <xdr:blipFill>
        <a:blip r:embed="rId493"/>
        <a:stretch>
          <a:fillRect/>
        </a:stretch>
      </xdr:blipFill>
      <xdr:spPr>
        <a:xfrm>
          <a:off x="0" y="0"/>
          <a:ext cx="1426210" cy="892810"/>
        </a:xfrm>
        <a:prstGeom prst="rect">
          <a:avLst/>
        </a:prstGeom>
      </xdr:spPr>
    </xdr:pic>
  </etc:cellImage>
  <etc:cellImage>
    <xdr:pic>
      <xdr:nvPicPr>
        <xdr:cNvPr id="155" name="ID_35D5C523FA0B4581A92DA254863FFB7E" descr="upload_post_object_v2_2277964678"/>
        <xdr:cNvPicPr/>
      </xdr:nvPicPr>
      <xdr:blipFill>
        <a:blip r:embed="rId494"/>
        <a:stretch>
          <a:fillRect/>
        </a:stretch>
      </xdr:blipFill>
      <xdr:spPr>
        <a:xfrm>
          <a:off x="0" y="0"/>
          <a:ext cx="488950" cy="457200"/>
        </a:xfrm>
        <a:prstGeom prst="rect">
          <a:avLst/>
        </a:prstGeom>
      </xdr:spPr>
    </xdr:pic>
  </etc:cellImage>
  <etc:cellImage>
    <xdr:pic>
      <xdr:nvPicPr>
        <xdr:cNvPr id="156" name="ID_A49BB6101CD943ACA7EA26C6507959D4" descr="upload_post_object_v2_3892372616"/>
        <xdr:cNvPicPr/>
      </xdr:nvPicPr>
      <xdr:blipFill>
        <a:blip r:embed="rId495"/>
        <a:stretch>
          <a:fillRect/>
        </a:stretch>
      </xdr:blipFill>
      <xdr:spPr>
        <a:xfrm>
          <a:off x="0" y="0"/>
          <a:ext cx="1502410" cy="789305"/>
        </a:xfrm>
        <a:prstGeom prst="rect">
          <a:avLst/>
        </a:prstGeom>
      </xdr:spPr>
    </xdr:pic>
  </etc:cellImage>
  <etc:cellImage>
    <xdr:pic>
      <xdr:nvPicPr>
        <xdr:cNvPr id="157" name="ID_50EB399F86864CF99FBBB8E5FC3383EB" descr="upload_post_object_v2_3693536876"/>
        <xdr:cNvPicPr/>
      </xdr:nvPicPr>
      <xdr:blipFill>
        <a:blip r:embed="rId496"/>
        <a:stretch>
          <a:fillRect/>
        </a:stretch>
      </xdr:blipFill>
      <xdr:spPr>
        <a:xfrm>
          <a:off x="0" y="0"/>
          <a:ext cx="1213485" cy="903605"/>
        </a:xfrm>
        <a:prstGeom prst="rect">
          <a:avLst/>
        </a:prstGeom>
      </xdr:spPr>
    </xdr:pic>
  </etc:cellImage>
  <etc:cellImage>
    <xdr:pic>
      <xdr:nvPicPr>
        <xdr:cNvPr id="158" name="ID_7213B2C4E83B43259147F30A63B9F6F3" descr="upload_post_object_v2_627911520"/>
        <xdr:cNvPicPr/>
      </xdr:nvPicPr>
      <xdr:blipFill>
        <a:blip r:embed="rId497"/>
        <a:stretch>
          <a:fillRect/>
        </a:stretch>
      </xdr:blipFill>
      <xdr:spPr>
        <a:xfrm>
          <a:off x="0" y="0"/>
          <a:ext cx="1480185" cy="930910"/>
        </a:xfrm>
        <a:prstGeom prst="rect">
          <a:avLst/>
        </a:prstGeom>
      </xdr:spPr>
    </xdr:pic>
  </etc:cellImage>
  <etc:cellImage>
    <xdr:pic>
      <xdr:nvPicPr>
        <xdr:cNvPr id="161" name="ID_B9963188EDAD454C9AB6987C33EAEE12" descr="upload_post_object_v2_850654272"/>
        <xdr:cNvPicPr/>
      </xdr:nvPicPr>
      <xdr:blipFill>
        <a:blip r:embed="rId498"/>
        <a:stretch>
          <a:fillRect/>
        </a:stretch>
      </xdr:blipFill>
      <xdr:spPr>
        <a:xfrm>
          <a:off x="0" y="0"/>
          <a:ext cx="1247775" cy="914400"/>
        </a:xfrm>
        <a:prstGeom prst="rect">
          <a:avLst/>
        </a:prstGeom>
      </xdr:spPr>
    </xdr:pic>
  </etc:cellImage>
  <etc:cellImage>
    <xdr:pic>
      <xdr:nvPicPr>
        <xdr:cNvPr id="162" name="ID_3FC9EB8E74FC448B90D845BB4FB1709F" descr="upload_post_object_v2_1697972344"/>
        <xdr:cNvPicPr/>
      </xdr:nvPicPr>
      <xdr:blipFill>
        <a:blip r:embed="rId499"/>
        <a:stretch>
          <a:fillRect/>
        </a:stretch>
      </xdr:blipFill>
      <xdr:spPr>
        <a:xfrm>
          <a:off x="0" y="0"/>
          <a:ext cx="977900" cy="558800"/>
        </a:xfrm>
        <a:prstGeom prst="rect">
          <a:avLst/>
        </a:prstGeom>
      </xdr:spPr>
    </xdr:pic>
  </etc:cellImage>
  <etc:cellImage>
    <xdr:pic>
      <xdr:nvPicPr>
        <xdr:cNvPr id="163" name="ID_C0AB42AEB6A24AAEB9F1DA340639DE47" descr="upload_post_object_v2_1797262925"/>
        <xdr:cNvPicPr/>
      </xdr:nvPicPr>
      <xdr:blipFill>
        <a:blip r:embed="rId500"/>
        <a:stretch>
          <a:fillRect/>
        </a:stretch>
      </xdr:blipFill>
      <xdr:spPr>
        <a:xfrm>
          <a:off x="0" y="0"/>
          <a:ext cx="1263015" cy="892810"/>
        </a:xfrm>
        <a:prstGeom prst="rect">
          <a:avLst/>
        </a:prstGeom>
      </xdr:spPr>
    </xdr:pic>
  </etc:cellImage>
  <etc:cellImage>
    <xdr:pic>
      <xdr:nvPicPr>
        <xdr:cNvPr id="164" name="ID_C219F1FB8207463FACE2846FED802B1F" descr="upload_post_object_v2_962446981"/>
        <xdr:cNvPicPr/>
      </xdr:nvPicPr>
      <xdr:blipFill>
        <a:blip r:embed="rId501"/>
        <a:stretch>
          <a:fillRect/>
        </a:stretch>
      </xdr:blipFill>
      <xdr:spPr>
        <a:xfrm>
          <a:off x="0" y="0"/>
          <a:ext cx="1339215" cy="1061085"/>
        </a:xfrm>
        <a:prstGeom prst="rect">
          <a:avLst/>
        </a:prstGeom>
      </xdr:spPr>
    </xdr:pic>
  </etc:cellImage>
  <etc:cellImage>
    <xdr:pic>
      <xdr:nvPicPr>
        <xdr:cNvPr id="165" name="ID_038E259D2B104565A54D8ED0888A651D" descr="upload_post_object_v2_330703493"/>
        <xdr:cNvPicPr/>
      </xdr:nvPicPr>
      <xdr:blipFill>
        <a:blip r:embed="rId502"/>
        <a:stretch>
          <a:fillRect/>
        </a:stretch>
      </xdr:blipFill>
      <xdr:spPr>
        <a:xfrm>
          <a:off x="0" y="0"/>
          <a:ext cx="1609725" cy="1238250"/>
        </a:xfrm>
        <a:prstGeom prst="rect">
          <a:avLst/>
        </a:prstGeom>
      </xdr:spPr>
    </xdr:pic>
  </etc:cellImage>
  <etc:cellImage>
    <xdr:pic>
      <xdr:nvPicPr>
        <xdr:cNvPr id="166" name="ID_99DBA1FDDE1440F39B1F1CC7022C2A4B" descr="upload_post_object_v2_4111107818"/>
        <xdr:cNvPicPr/>
      </xdr:nvPicPr>
      <xdr:blipFill>
        <a:blip r:embed="rId503"/>
        <a:stretch>
          <a:fillRect/>
        </a:stretch>
      </xdr:blipFill>
      <xdr:spPr>
        <a:xfrm>
          <a:off x="0" y="0"/>
          <a:ext cx="1301115" cy="946785"/>
        </a:xfrm>
        <a:prstGeom prst="rect">
          <a:avLst/>
        </a:prstGeom>
      </xdr:spPr>
    </xdr:pic>
  </etc:cellImage>
  <etc:cellImage>
    <xdr:pic>
      <xdr:nvPicPr>
        <xdr:cNvPr id="173" name="ID_4EF42AA2A2AD4E3E94BEB622C41F94AE" descr="upload_post_object_v2_593075416"/>
        <xdr:cNvPicPr/>
      </xdr:nvPicPr>
      <xdr:blipFill>
        <a:blip r:embed="rId504"/>
        <a:stretch>
          <a:fillRect/>
        </a:stretch>
      </xdr:blipFill>
      <xdr:spPr>
        <a:xfrm>
          <a:off x="0" y="0"/>
          <a:ext cx="1339215" cy="979805"/>
        </a:xfrm>
        <a:prstGeom prst="rect">
          <a:avLst/>
        </a:prstGeom>
      </xdr:spPr>
    </xdr:pic>
  </etc:cellImage>
  <etc:cellImage>
    <xdr:pic>
      <xdr:nvPicPr>
        <xdr:cNvPr id="175" name="ID_C9697A7509FD47F1A37A2C434F779786" descr="upload_post_object_v2_1469705209"/>
        <xdr:cNvPicPr/>
      </xdr:nvPicPr>
      <xdr:blipFill>
        <a:blip r:embed="rId505"/>
        <a:stretch>
          <a:fillRect/>
        </a:stretch>
      </xdr:blipFill>
      <xdr:spPr>
        <a:xfrm>
          <a:off x="0" y="0"/>
          <a:ext cx="469900" cy="482600"/>
        </a:xfrm>
        <a:prstGeom prst="rect">
          <a:avLst/>
        </a:prstGeom>
      </xdr:spPr>
    </xdr:pic>
  </etc:cellImage>
  <etc:cellImage>
    <xdr:pic>
      <xdr:nvPicPr>
        <xdr:cNvPr id="176" name="ID_56F0EF34EE804FBEB49A3B9C44199CB9" descr="upload_post_object_v2_4018780759"/>
        <xdr:cNvPicPr/>
      </xdr:nvPicPr>
      <xdr:blipFill>
        <a:blip r:embed="rId505"/>
        <a:stretch>
          <a:fillRect/>
        </a:stretch>
      </xdr:blipFill>
      <xdr:spPr>
        <a:xfrm>
          <a:off x="0" y="0"/>
          <a:ext cx="469900" cy="482600"/>
        </a:xfrm>
        <a:prstGeom prst="rect">
          <a:avLst/>
        </a:prstGeom>
      </xdr:spPr>
    </xdr:pic>
  </etc:cellImage>
  <etc:cellImage>
    <xdr:pic>
      <xdr:nvPicPr>
        <xdr:cNvPr id="177" name="ID_8FD8C34FF3D149DBBFE23EF5A217AB4B" descr="upload_post_object_v2_2119166130"/>
        <xdr:cNvPicPr/>
      </xdr:nvPicPr>
      <xdr:blipFill>
        <a:blip r:embed="rId506"/>
        <a:stretch>
          <a:fillRect/>
        </a:stretch>
      </xdr:blipFill>
      <xdr:spPr>
        <a:xfrm>
          <a:off x="0" y="0"/>
          <a:ext cx="1117600" cy="622300"/>
        </a:xfrm>
        <a:prstGeom prst="rect">
          <a:avLst/>
        </a:prstGeom>
      </xdr:spPr>
    </xdr:pic>
  </etc:cellImage>
  <etc:cellImage>
    <xdr:pic>
      <xdr:nvPicPr>
        <xdr:cNvPr id="178" name="ID_A4A052E48C9747968ACE98BBDCEA8F6D" descr="upload_post_object_v2_731886895"/>
        <xdr:cNvPicPr/>
      </xdr:nvPicPr>
      <xdr:blipFill>
        <a:blip r:embed="rId507"/>
        <a:stretch>
          <a:fillRect/>
        </a:stretch>
      </xdr:blipFill>
      <xdr:spPr>
        <a:xfrm>
          <a:off x="0" y="0"/>
          <a:ext cx="895350" cy="508000"/>
        </a:xfrm>
        <a:prstGeom prst="rect">
          <a:avLst/>
        </a:prstGeom>
      </xdr:spPr>
    </xdr:pic>
  </etc:cellImage>
  <etc:cellImage>
    <xdr:pic>
      <xdr:nvPicPr>
        <xdr:cNvPr id="179" name="ID_BA083B9E7AB64266AFD6D4D0A9A3049D" descr="upload_post_object_v2_3135098177"/>
        <xdr:cNvPicPr/>
      </xdr:nvPicPr>
      <xdr:blipFill>
        <a:blip r:embed="rId508"/>
        <a:stretch>
          <a:fillRect/>
        </a:stretch>
      </xdr:blipFill>
      <xdr:spPr>
        <a:xfrm>
          <a:off x="0" y="0"/>
          <a:ext cx="647700" cy="342900"/>
        </a:xfrm>
        <a:prstGeom prst="rect">
          <a:avLst/>
        </a:prstGeom>
      </xdr:spPr>
    </xdr:pic>
  </etc:cellImage>
  <etc:cellImage>
    <xdr:pic>
      <xdr:nvPicPr>
        <xdr:cNvPr id="180" name="ID_2ED285EB39EF4710915AE2160E600868" descr="upload_post_object_v2_3947710359"/>
        <xdr:cNvPicPr/>
      </xdr:nvPicPr>
      <xdr:blipFill>
        <a:blip r:embed="rId509"/>
        <a:stretch>
          <a:fillRect/>
        </a:stretch>
      </xdr:blipFill>
      <xdr:spPr>
        <a:xfrm>
          <a:off x="0" y="0"/>
          <a:ext cx="1460500" cy="850900"/>
        </a:xfrm>
        <a:prstGeom prst="rect">
          <a:avLst/>
        </a:prstGeom>
      </xdr:spPr>
    </xdr:pic>
  </etc:cellImage>
  <etc:cellImage>
    <xdr:pic>
      <xdr:nvPicPr>
        <xdr:cNvPr id="181" name="ID_CDDB5D935DD5491E845E9F236EAFBE90" descr="upload_post_object_v2_3442566682"/>
        <xdr:cNvPicPr/>
      </xdr:nvPicPr>
      <xdr:blipFill>
        <a:blip r:embed="rId510"/>
        <a:stretch>
          <a:fillRect/>
        </a:stretch>
      </xdr:blipFill>
      <xdr:spPr>
        <a:xfrm>
          <a:off x="0" y="0"/>
          <a:ext cx="1384300" cy="622300"/>
        </a:xfrm>
        <a:prstGeom prst="rect">
          <a:avLst/>
        </a:prstGeom>
      </xdr:spPr>
    </xdr:pic>
  </etc:cellImage>
  <etc:cellImage>
    <xdr:pic>
      <xdr:nvPicPr>
        <xdr:cNvPr id="182" name="ID_A29AD8E2B82A468BA9744DE22C9AD0AA" descr="upload_post_object_v2_1928447347"/>
        <xdr:cNvPicPr/>
      </xdr:nvPicPr>
      <xdr:blipFill>
        <a:blip r:embed="rId511"/>
        <a:stretch>
          <a:fillRect/>
        </a:stretch>
      </xdr:blipFill>
      <xdr:spPr>
        <a:xfrm>
          <a:off x="0" y="0"/>
          <a:ext cx="850900" cy="292100"/>
        </a:xfrm>
        <a:prstGeom prst="rect">
          <a:avLst/>
        </a:prstGeom>
      </xdr:spPr>
    </xdr:pic>
  </etc:cellImage>
  <etc:cellImage>
    <xdr:pic>
      <xdr:nvPicPr>
        <xdr:cNvPr id="183" name="ID_E7149C05E737467AAF05EC17C2185880" descr="upload_post_object_v2_1579829933"/>
        <xdr:cNvPicPr/>
      </xdr:nvPicPr>
      <xdr:blipFill>
        <a:blip r:embed="rId512"/>
        <a:stretch>
          <a:fillRect/>
        </a:stretch>
      </xdr:blipFill>
      <xdr:spPr>
        <a:xfrm>
          <a:off x="0" y="0"/>
          <a:ext cx="508000" cy="215900"/>
        </a:xfrm>
        <a:prstGeom prst="rect">
          <a:avLst/>
        </a:prstGeom>
      </xdr:spPr>
    </xdr:pic>
  </etc:cellImage>
  <etc:cellImage>
    <xdr:pic>
      <xdr:nvPicPr>
        <xdr:cNvPr id="185" name="ID_CDD8C0A7C0B4497DA25FA64DCF7FCC54" descr="upload_post_object_v2_3050229880"/>
        <xdr:cNvPicPr/>
      </xdr:nvPicPr>
      <xdr:blipFill>
        <a:blip r:embed="rId513"/>
        <a:stretch>
          <a:fillRect/>
        </a:stretch>
      </xdr:blipFill>
      <xdr:spPr>
        <a:xfrm>
          <a:off x="0" y="0"/>
          <a:ext cx="723900" cy="228600"/>
        </a:xfrm>
        <a:prstGeom prst="rect">
          <a:avLst/>
        </a:prstGeom>
      </xdr:spPr>
    </xdr:pic>
  </etc:cellImage>
  <etc:cellImage>
    <xdr:pic>
      <xdr:nvPicPr>
        <xdr:cNvPr id="186" name="ID_077017B9F7FE4EDA80BA8E71CEF57608" descr="upload_post_object_v2_2556462405"/>
        <xdr:cNvPicPr/>
      </xdr:nvPicPr>
      <xdr:blipFill>
        <a:blip r:embed="rId514"/>
        <a:stretch>
          <a:fillRect/>
        </a:stretch>
      </xdr:blipFill>
      <xdr:spPr>
        <a:xfrm>
          <a:off x="0" y="0"/>
          <a:ext cx="927100" cy="215900"/>
        </a:xfrm>
        <a:prstGeom prst="rect">
          <a:avLst/>
        </a:prstGeom>
      </xdr:spPr>
    </xdr:pic>
  </etc:cellImage>
  <etc:cellImage>
    <xdr:pic>
      <xdr:nvPicPr>
        <xdr:cNvPr id="188" name="ID_50D6CC3017C8434C93931EEAF49271B3" descr="upload_post_object_v2_3597110071"/>
        <xdr:cNvPicPr/>
      </xdr:nvPicPr>
      <xdr:blipFill>
        <a:blip r:embed="rId515"/>
        <a:stretch>
          <a:fillRect/>
        </a:stretch>
      </xdr:blipFill>
      <xdr:spPr>
        <a:xfrm>
          <a:off x="0" y="0"/>
          <a:ext cx="946150" cy="711200"/>
        </a:xfrm>
        <a:prstGeom prst="rect">
          <a:avLst/>
        </a:prstGeom>
      </xdr:spPr>
    </xdr:pic>
  </etc:cellImage>
  <etc:cellImage>
    <xdr:pic>
      <xdr:nvPicPr>
        <xdr:cNvPr id="189" name="ID_9A622A29E5284CCEA9BC8D62E53B188E" descr="upload_post_object_v2_1493039685"/>
        <xdr:cNvPicPr/>
      </xdr:nvPicPr>
      <xdr:blipFill>
        <a:blip r:embed="rId516"/>
        <a:stretch>
          <a:fillRect/>
        </a:stretch>
      </xdr:blipFill>
      <xdr:spPr>
        <a:xfrm>
          <a:off x="0" y="0"/>
          <a:ext cx="927100" cy="558800"/>
        </a:xfrm>
        <a:prstGeom prst="rect">
          <a:avLst/>
        </a:prstGeom>
      </xdr:spPr>
    </xdr:pic>
  </etc:cellImage>
  <etc:cellImage>
    <xdr:pic>
      <xdr:nvPicPr>
        <xdr:cNvPr id="190" name="ID_ADFA9CC14FD94E259F3C39113764795B" descr="upload_post_object_v2_4200145591"/>
        <xdr:cNvPicPr/>
      </xdr:nvPicPr>
      <xdr:blipFill>
        <a:blip r:embed="rId517"/>
        <a:stretch>
          <a:fillRect/>
        </a:stretch>
      </xdr:blipFill>
      <xdr:spPr>
        <a:xfrm>
          <a:off x="0" y="0"/>
          <a:ext cx="711200" cy="685800"/>
        </a:xfrm>
        <a:prstGeom prst="rect">
          <a:avLst/>
        </a:prstGeom>
      </xdr:spPr>
    </xdr:pic>
  </etc:cellImage>
  <etc:cellImage>
    <xdr:pic>
      <xdr:nvPicPr>
        <xdr:cNvPr id="191" name="ID_130F8F34D1B04AED818E1140BE396139" descr="upload_post_object_v2_1477816207"/>
        <xdr:cNvPicPr/>
      </xdr:nvPicPr>
      <xdr:blipFill>
        <a:blip r:embed="rId518"/>
        <a:stretch>
          <a:fillRect/>
        </a:stretch>
      </xdr:blipFill>
      <xdr:spPr>
        <a:xfrm>
          <a:off x="0" y="0"/>
          <a:ext cx="1016000" cy="495300"/>
        </a:xfrm>
        <a:prstGeom prst="rect">
          <a:avLst/>
        </a:prstGeom>
      </xdr:spPr>
    </xdr:pic>
  </etc:cellImage>
  <etc:cellImage>
    <xdr:pic>
      <xdr:nvPicPr>
        <xdr:cNvPr id="192" name="ID_F778B0EAC01A4675975D646B36CD5CA3" descr="upload_post_object_v2_3709800600"/>
        <xdr:cNvPicPr/>
      </xdr:nvPicPr>
      <xdr:blipFill>
        <a:blip r:embed="rId519"/>
        <a:stretch>
          <a:fillRect/>
        </a:stretch>
      </xdr:blipFill>
      <xdr:spPr>
        <a:xfrm>
          <a:off x="0" y="0"/>
          <a:ext cx="1308100" cy="876300"/>
        </a:xfrm>
        <a:prstGeom prst="rect">
          <a:avLst/>
        </a:prstGeom>
      </xdr:spPr>
    </xdr:pic>
  </etc:cellImage>
  <etc:cellImage>
    <xdr:pic>
      <xdr:nvPicPr>
        <xdr:cNvPr id="154" name="ID_3E7D677B8228408AB07A3C9A37FB1141" descr="upload_post_object_v2_1044387144"/>
        <xdr:cNvPicPr/>
      </xdr:nvPicPr>
      <xdr:blipFill>
        <a:blip r:embed="rId520"/>
        <a:stretch>
          <a:fillRect/>
        </a:stretch>
      </xdr:blipFill>
      <xdr:spPr>
        <a:xfrm>
          <a:off x="0" y="0"/>
          <a:ext cx="1447800" cy="1341120"/>
        </a:xfrm>
        <a:prstGeom prst="rect">
          <a:avLst/>
        </a:prstGeom>
      </xdr:spPr>
    </xdr:pic>
  </etc:cellImage>
  <etc:cellImage>
    <xdr:pic>
      <xdr:nvPicPr>
        <xdr:cNvPr id="193" name="ID_3B2B155A65E540B284072DDBE9789504" descr="upload_post_object_v2_731610697"/>
        <xdr:cNvPicPr/>
      </xdr:nvPicPr>
      <xdr:blipFill>
        <a:blip r:embed="rId521"/>
        <a:stretch>
          <a:fillRect/>
        </a:stretch>
      </xdr:blipFill>
      <xdr:spPr>
        <a:xfrm>
          <a:off x="0" y="0"/>
          <a:ext cx="1341120" cy="906780"/>
        </a:xfrm>
        <a:prstGeom prst="rect">
          <a:avLst/>
        </a:prstGeom>
      </xdr:spPr>
    </xdr:pic>
  </etc:cellImage>
  <etc:cellImage>
    <xdr:pic>
      <xdr:nvPicPr>
        <xdr:cNvPr id="194" name="ID_6728483EF0ED49389D46459A47922B73" descr="upload_post_object_v2_4210049916"/>
        <xdr:cNvPicPr/>
      </xdr:nvPicPr>
      <xdr:blipFill>
        <a:blip r:embed="rId522"/>
        <a:stretch>
          <a:fillRect/>
        </a:stretch>
      </xdr:blipFill>
      <xdr:spPr>
        <a:xfrm>
          <a:off x="0" y="0"/>
          <a:ext cx="1341120" cy="853440"/>
        </a:xfrm>
        <a:prstGeom prst="rect">
          <a:avLst/>
        </a:prstGeom>
      </xdr:spPr>
    </xdr:pic>
  </etc:cellImage>
  <etc:cellImage>
    <xdr:pic>
      <xdr:nvPicPr>
        <xdr:cNvPr id="195" name="ID_717AD798A07A474FA962AF952A6921E8" descr="upload_post_object_v2_3216934800"/>
        <xdr:cNvPicPr/>
      </xdr:nvPicPr>
      <xdr:blipFill>
        <a:blip r:embed="rId523"/>
        <a:stretch>
          <a:fillRect/>
        </a:stretch>
      </xdr:blipFill>
      <xdr:spPr>
        <a:xfrm>
          <a:off x="0" y="0"/>
          <a:ext cx="1531620" cy="1120140"/>
        </a:xfrm>
        <a:prstGeom prst="rect">
          <a:avLst/>
        </a:prstGeom>
      </xdr:spPr>
    </xdr:pic>
  </etc:cellImage>
  <etc:cellImage>
    <xdr:pic>
      <xdr:nvPicPr>
        <xdr:cNvPr id="197" name="ID_6D7B0B3CEB1546E2AB8C4254045A4216" descr="upload_post_object_v2_334358704"/>
        <xdr:cNvPicPr/>
      </xdr:nvPicPr>
      <xdr:blipFill>
        <a:blip r:embed="rId524"/>
        <a:stretch>
          <a:fillRect/>
        </a:stretch>
      </xdr:blipFill>
      <xdr:spPr>
        <a:xfrm>
          <a:off x="0" y="0"/>
          <a:ext cx="1554480" cy="777240"/>
        </a:xfrm>
        <a:prstGeom prst="rect">
          <a:avLst/>
        </a:prstGeom>
      </xdr:spPr>
    </xdr:pic>
  </etc:cellImage>
  <etc:cellImage>
    <xdr:pic>
      <xdr:nvPicPr>
        <xdr:cNvPr id="199" name="ID_D9A82693E61045ADA33F5D3DA6B7827B" descr="upload_post_object_v2_1038749314"/>
        <xdr:cNvPicPr/>
      </xdr:nvPicPr>
      <xdr:blipFill>
        <a:blip r:embed="rId525"/>
        <a:stretch>
          <a:fillRect/>
        </a:stretch>
      </xdr:blipFill>
      <xdr:spPr>
        <a:xfrm>
          <a:off x="0" y="0"/>
          <a:ext cx="1569720" cy="845820"/>
        </a:xfrm>
        <a:prstGeom prst="rect">
          <a:avLst/>
        </a:prstGeom>
      </xdr:spPr>
    </xdr:pic>
  </etc:cellImage>
  <etc:cellImage>
    <xdr:pic>
      <xdr:nvPicPr>
        <xdr:cNvPr id="200" name="ID_F0B131702F554576953078CCFDD607D3" descr="upload_post_object_v2_3215094612"/>
        <xdr:cNvPicPr/>
      </xdr:nvPicPr>
      <xdr:blipFill>
        <a:blip r:embed="rId526"/>
        <a:stretch>
          <a:fillRect/>
        </a:stretch>
      </xdr:blipFill>
      <xdr:spPr>
        <a:xfrm>
          <a:off x="0" y="0"/>
          <a:ext cx="1554480" cy="891540"/>
        </a:xfrm>
        <a:prstGeom prst="rect">
          <a:avLst/>
        </a:prstGeom>
      </xdr:spPr>
    </xdr:pic>
  </etc:cellImage>
  <etc:cellImage>
    <xdr:pic>
      <xdr:nvPicPr>
        <xdr:cNvPr id="202" name="ID_351144BD473E46CF900F0E964E12F48B" descr="upload_post_object_v2_2717938375"/>
        <xdr:cNvPicPr/>
      </xdr:nvPicPr>
      <xdr:blipFill>
        <a:blip r:embed="rId527"/>
        <a:stretch>
          <a:fillRect/>
        </a:stretch>
      </xdr:blipFill>
      <xdr:spPr>
        <a:xfrm>
          <a:off x="0" y="0"/>
          <a:ext cx="1562100" cy="1478280"/>
        </a:xfrm>
        <a:prstGeom prst="rect">
          <a:avLst/>
        </a:prstGeom>
      </xdr:spPr>
    </xdr:pic>
  </etc:cellImage>
  <etc:cellImage>
    <xdr:pic>
      <xdr:nvPicPr>
        <xdr:cNvPr id="203" name="ID_2254D4E2792B40D596455186C150708F" descr="upload_post_object_v2_613714459"/>
        <xdr:cNvPicPr/>
      </xdr:nvPicPr>
      <xdr:blipFill>
        <a:blip r:embed="rId528"/>
        <a:stretch>
          <a:fillRect/>
        </a:stretch>
      </xdr:blipFill>
      <xdr:spPr>
        <a:xfrm>
          <a:off x="0" y="0"/>
          <a:ext cx="1531620" cy="1043940"/>
        </a:xfrm>
        <a:prstGeom prst="rect">
          <a:avLst/>
        </a:prstGeom>
      </xdr:spPr>
    </xdr:pic>
  </etc:cellImage>
  <etc:cellImage>
    <xdr:pic>
      <xdr:nvPicPr>
        <xdr:cNvPr id="204" name="ID_274A868EC17A46CA9783BB4FE5355275" descr="upload_post_object_v2_3174938719"/>
        <xdr:cNvPicPr/>
      </xdr:nvPicPr>
      <xdr:blipFill>
        <a:blip r:embed="rId529"/>
        <a:stretch>
          <a:fillRect/>
        </a:stretch>
      </xdr:blipFill>
      <xdr:spPr>
        <a:xfrm>
          <a:off x="0" y="0"/>
          <a:ext cx="1569720" cy="1036320"/>
        </a:xfrm>
        <a:prstGeom prst="rect">
          <a:avLst/>
        </a:prstGeom>
      </xdr:spPr>
    </xdr:pic>
  </etc:cellImage>
  <etc:cellImage>
    <xdr:pic>
      <xdr:nvPicPr>
        <xdr:cNvPr id="205" name="ID_5A087E6E8252477595044F3001A9C46C" descr="upload_post_object_v2_1107929473"/>
        <xdr:cNvPicPr/>
      </xdr:nvPicPr>
      <xdr:blipFill>
        <a:blip r:embed="rId530"/>
        <a:stretch>
          <a:fillRect/>
        </a:stretch>
      </xdr:blipFill>
      <xdr:spPr>
        <a:xfrm>
          <a:off x="0" y="0"/>
          <a:ext cx="1531620" cy="693420"/>
        </a:xfrm>
        <a:prstGeom prst="rect">
          <a:avLst/>
        </a:prstGeom>
      </xdr:spPr>
    </xdr:pic>
  </etc:cellImage>
  <etc:cellImage>
    <xdr:pic>
      <xdr:nvPicPr>
        <xdr:cNvPr id="159" name="ID_F8421794999F47D6BD369E032F1384ED" descr="upload_post_object_v2_2470560259"/>
        <xdr:cNvPicPr/>
      </xdr:nvPicPr>
      <xdr:blipFill>
        <a:blip r:embed="rId531"/>
        <a:stretch>
          <a:fillRect/>
        </a:stretch>
      </xdr:blipFill>
      <xdr:spPr>
        <a:xfrm>
          <a:off x="0" y="0"/>
          <a:ext cx="914400" cy="558800"/>
        </a:xfrm>
        <a:prstGeom prst="rect">
          <a:avLst/>
        </a:prstGeom>
      </xdr:spPr>
    </xdr:pic>
  </etc:cellImage>
  <etc:cellImage>
    <xdr:pic>
      <xdr:nvPicPr>
        <xdr:cNvPr id="206" name="ID_46F3CE3210A341F1B20C5DFADB31E823" descr="upload_post_object_v2_3703439677"/>
        <xdr:cNvPicPr/>
      </xdr:nvPicPr>
      <xdr:blipFill>
        <a:blip r:embed="rId532"/>
        <a:stretch>
          <a:fillRect/>
        </a:stretch>
      </xdr:blipFill>
      <xdr:spPr>
        <a:xfrm>
          <a:off x="0" y="0"/>
          <a:ext cx="1568450" cy="996950"/>
        </a:xfrm>
        <a:prstGeom prst="rect">
          <a:avLst/>
        </a:prstGeom>
      </xdr:spPr>
    </xdr:pic>
  </etc:cellImage>
  <etc:cellImage>
    <xdr:pic>
      <xdr:nvPicPr>
        <xdr:cNvPr id="208" name="ID_E045B880D5B04159B5B18C727BD3F98B" descr="upload_post_object_v2_1490599299"/>
        <xdr:cNvPicPr/>
      </xdr:nvPicPr>
      <xdr:blipFill>
        <a:blip r:embed="rId533"/>
        <a:stretch>
          <a:fillRect/>
        </a:stretch>
      </xdr:blipFill>
      <xdr:spPr>
        <a:xfrm>
          <a:off x="0" y="0"/>
          <a:ext cx="3130550" cy="1244600"/>
        </a:xfrm>
        <a:prstGeom prst="rect">
          <a:avLst/>
        </a:prstGeom>
      </xdr:spPr>
    </xdr:pic>
  </etc:cellImage>
  <etc:cellImage>
    <xdr:pic>
      <xdr:nvPicPr>
        <xdr:cNvPr id="209" name="ID_B6F0C8D3110B4BD6A2DA0AE20C5A2DEE" descr="upload_post_object_v2_397864365"/>
        <xdr:cNvPicPr/>
      </xdr:nvPicPr>
      <xdr:blipFill>
        <a:blip r:embed="rId534"/>
        <a:stretch>
          <a:fillRect/>
        </a:stretch>
      </xdr:blipFill>
      <xdr:spPr>
        <a:xfrm>
          <a:off x="0" y="0"/>
          <a:ext cx="1225550" cy="768350"/>
        </a:xfrm>
        <a:prstGeom prst="rect">
          <a:avLst/>
        </a:prstGeom>
      </xdr:spPr>
    </xdr:pic>
  </etc:cellImage>
  <etc:cellImage>
    <xdr:pic>
      <xdr:nvPicPr>
        <xdr:cNvPr id="210" name="ID_3AC4369405C2454CA04AD7508AB77E90" descr="upload_post_object_v2_1557016131"/>
        <xdr:cNvPicPr/>
      </xdr:nvPicPr>
      <xdr:blipFill>
        <a:blip r:embed="rId535"/>
        <a:stretch>
          <a:fillRect/>
        </a:stretch>
      </xdr:blipFill>
      <xdr:spPr>
        <a:xfrm>
          <a:off x="0" y="0"/>
          <a:ext cx="2425700" cy="1543050"/>
        </a:xfrm>
        <a:prstGeom prst="rect">
          <a:avLst/>
        </a:prstGeom>
      </xdr:spPr>
    </xdr:pic>
  </etc:cellImage>
  <etc:cellImage>
    <xdr:pic>
      <xdr:nvPicPr>
        <xdr:cNvPr id="211" name="ID_E7D4054C25CA43B39BDA84889E6F2B20" descr="upload_post_object_v2_3690522874"/>
        <xdr:cNvPicPr/>
      </xdr:nvPicPr>
      <xdr:blipFill>
        <a:blip r:embed="rId536"/>
        <a:stretch>
          <a:fillRect/>
        </a:stretch>
      </xdr:blipFill>
      <xdr:spPr>
        <a:xfrm>
          <a:off x="0" y="0"/>
          <a:ext cx="2063750" cy="1416050"/>
        </a:xfrm>
        <a:prstGeom prst="rect">
          <a:avLst/>
        </a:prstGeom>
      </xdr:spPr>
    </xdr:pic>
  </etc:cellImage>
  <etc:cellImage>
    <xdr:pic>
      <xdr:nvPicPr>
        <xdr:cNvPr id="213" name="ID_FC8042D2BFF0425C82D3FE6ACEE78150" descr="upload_post_object_v2_214959187"/>
        <xdr:cNvPicPr/>
      </xdr:nvPicPr>
      <xdr:blipFill>
        <a:blip r:embed="rId537"/>
        <a:stretch>
          <a:fillRect/>
        </a:stretch>
      </xdr:blipFill>
      <xdr:spPr>
        <a:xfrm>
          <a:off x="0" y="0"/>
          <a:ext cx="1911350" cy="1416050"/>
        </a:xfrm>
        <a:prstGeom prst="rect">
          <a:avLst/>
        </a:prstGeom>
      </xdr:spPr>
    </xdr:pic>
  </etc:cellImage>
  <etc:cellImage>
    <xdr:pic>
      <xdr:nvPicPr>
        <xdr:cNvPr id="216" name="ID_3C099A8782C04DFC8D889B6A58A273D2" descr="upload_post_object_v2_3185578811"/>
        <xdr:cNvPicPr/>
      </xdr:nvPicPr>
      <xdr:blipFill>
        <a:blip r:embed="rId538"/>
        <a:stretch>
          <a:fillRect/>
        </a:stretch>
      </xdr:blipFill>
      <xdr:spPr>
        <a:xfrm>
          <a:off x="0" y="0"/>
          <a:ext cx="1816100" cy="914400"/>
        </a:xfrm>
        <a:prstGeom prst="rect">
          <a:avLst/>
        </a:prstGeom>
      </xdr:spPr>
    </xdr:pic>
  </etc:cellImage>
  <etc:cellImage>
    <xdr:pic>
      <xdr:nvPicPr>
        <xdr:cNvPr id="217" name="ID_114A0744989B4037B1AA10C9359A0A82" descr="upload_post_object_v2_3455362913"/>
        <xdr:cNvPicPr/>
      </xdr:nvPicPr>
      <xdr:blipFill>
        <a:blip r:embed="rId539"/>
        <a:stretch>
          <a:fillRect/>
        </a:stretch>
      </xdr:blipFill>
      <xdr:spPr>
        <a:xfrm>
          <a:off x="0" y="0"/>
          <a:ext cx="2598420" cy="1607820"/>
        </a:xfrm>
        <a:prstGeom prst="rect">
          <a:avLst/>
        </a:prstGeom>
      </xdr:spPr>
    </xdr:pic>
  </etc:cellImage>
  <etc:cellImage>
    <xdr:pic>
      <xdr:nvPicPr>
        <xdr:cNvPr id="218" name="ID_15DBB1A017384B3C930A17BED73F8D51" descr="upload_post_object_v2_3100107331"/>
        <xdr:cNvPicPr/>
      </xdr:nvPicPr>
      <xdr:blipFill>
        <a:blip r:embed="rId540"/>
        <a:stretch>
          <a:fillRect/>
        </a:stretch>
      </xdr:blipFill>
      <xdr:spPr>
        <a:xfrm>
          <a:off x="0" y="0"/>
          <a:ext cx="2179320" cy="1379220"/>
        </a:xfrm>
        <a:prstGeom prst="rect">
          <a:avLst/>
        </a:prstGeom>
      </xdr:spPr>
    </xdr:pic>
  </etc:cellImage>
  <etc:cellImage>
    <xdr:pic>
      <xdr:nvPicPr>
        <xdr:cNvPr id="219" name="ID_DF55DD9DDDE4413AA4CE30FA8C05F1C7" descr="upload_post_object_v2_2558829257"/>
        <xdr:cNvPicPr/>
      </xdr:nvPicPr>
      <xdr:blipFill>
        <a:blip r:embed="rId541"/>
        <a:stretch>
          <a:fillRect/>
        </a:stretch>
      </xdr:blipFill>
      <xdr:spPr>
        <a:xfrm>
          <a:off x="0" y="0"/>
          <a:ext cx="2179320" cy="1264920"/>
        </a:xfrm>
        <a:prstGeom prst="rect">
          <a:avLst/>
        </a:prstGeom>
      </xdr:spPr>
    </xdr:pic>
  </etc:cellImage>
  <etc:cellImage>
    <xdr:pic>
      <xdr:nvPicPr>
        <xdr:cNvPr id="220" name="ID_62E5ABC7FE864E6092A15CFEF79C6EE4" descr="upload_post_object_v2_2688040604"/>
        <xdr:cNvPicPr/>
      </xdr:nvPicPr>
      <xdr:blipFill>
        <a:blip r:embed="rId542"/>
        <a:stretch>
          <a:fillRect/>
        </a:stretch>
      </xdr:blipFill>
      <xdr:spPr>
        <a:xfrm>
          <a:off x="0" y="0"/>
          <a:ext cx="1638300" cy="1211580"/>
        </a:xfrm>
        <a:prstGeom prst="rect">
          <a:avLst/>
        </a:prstGeom>
      </xdr:spPr>
    </xdr:pic>
  </etc:cellImage>
  <etc:cellImage>
    <xdr:pic>
      <xdr:nvPicPr>
        <xdr:cNvPr id="221" name="ID_F1D9D961F951486CB291FFD4FB694EA6" descr="upload_post_object_v2_243557370"/>
        <xdr:cNvPicPr/>
      </xdr:nvPicPr>
      <xdr:blipFill>
        <a:blip r:embed="rId543"/>
        <a:stretch>
          <a:fillRect/>
        </a:stretch>
      </xdr:blipFill>
      <xdr:spPr>
        <a:xfrm>
          <a:off x="0" y="0"/>
          <a:ext cx="1371600" cy="1143000"/>
        </a:xfrm>
        <a:prstGeom prst="rect">
          <a:avLst/>
        </a:prstGeom>
      </xdr:spPr>
    </xdr:pic>
  </etc:cellImage>
  <etc:cellImage>
    <xdr:pic>
      <xdr:nvPicPr>
        <xdr:cNvPr id="233" name="ID_A185434BDB9A4AA9B5E038F5CC9C8484" descr="upload_post_object_v2_2150186804"/>
        <xdr:cNvPicPr/>
      </xdr:nvPicPr>
      <xdr:blipFill>
        <a:blip r:embed="rId544"/>
        <a:stretch>
          <a:fillRect/>
        </a:stretch>
      </xdr:blipFill>
      <xdr:spPr>
        <a:xfrm>
          <a:off x="0" y="0"/>
          <a:ext cx="6606540" cy="3276600"/>
        </a:xfrm>
        <a:prstGeom prst="rect">
          <a:avLst/>
        </a:prstGeom>
      </xdr:spPr>
    </xdr:pic>
  </etc:cellImage>
  <etc:cellImage>
    <xdr:pic>
      <xdr:nvPicPr>
        <xdr:cNvPr id="238" name="ID_11F304F0D7D24641BAEF2EB4ED6DC0E6" descr="upload_post_object_v2_3546819056"/>
        <xdr:cNvPicPr/>
      </xdr:nvPicPr>
      <xdr:blipFill>
        <a:blip r:embed="rId545"/>
        <a:stretch>
          <a:fillRect/>
        </a:stretch>
      </xdr:blipFill>
      <xdr:spPr>
        <a:xfrm>
          <a:off x="0" y="0"/>
          <a:ext cx="4838700" cy="3970020"/>
        </a:xfrm>
        <a:prstGeom prst="rect">
          <a:avLst/>
        </a:prstGeom>
      </xdr:spPr>
    </xdr:pic>
  </etc:cellImage>
  <etc:cellImage>
    <xdr:pic>
      <xdr:nvPicPr>
        <xdr:cNvPr id="242" name="ID_EF0D49D43EE64DEA955A287650B7DD66" descr="upload_post_object_v2_1620763872"/>
        <xdr:cNvPicPr/>
      </xdr:nvPicPr>
      <xdr:blipFill>
        <a:blip r:embed="rId546"/>
        <a:stretch>
          <a:fillRect/>
        </a:stretch>
      </xdr:blipFill>
      <xdr:spPr>
        <a:xfrm>
          <a:off x="0" y="0"/>
          <a:ext cx="4655820" cy="4152900"/>
        </a:xfrm>
        <a:prstGeom prst="rect">
          <a:avLst/>
        </a:prstGeom>
      </xdr:spPr>
    </xdr:pic>
  </etc:cellImage>
  <etc:cellImage>
    <xdr:pic>
      <xdr:nvPicPr>
        <xdr:cNvPr id="253" name="ID_2102024B2EE043878FB86CC6E1DED496" descr="upload_post_object_v2_4149502859"/>
        <xdr:cNvPicPr/>
      </xdr:nvPicPr>
      <xdr:blipFill>
        <a:blip r:embed="rId547"/>
        <a:stretch>
          <a:fillRect/>
        </a:stretch>
      </xdr:blipFill>
      <xdr:spPr>
        <a:xfrm>
          <a:off x="0" y="0"/>
          <a:ext cx="6530340" cy="4084320"/>
        </a:xfrm>
        <a:prstGeom prst="rect">
          <a:avLst/>
        </a:prstGeom>
      </xdr:spPr>
    </xdr:pic>
  </etc:cellImage>
  <etc:cellImage>
    <xdr:pic>
      <xdr:nvPicPr>
        <xdr:cNvPr id="228" name="ID_DC33EDA844CD448FB447390AA0E5AD85" descr="upload_post_object_v2_848583740"/>
        <xdr:cNvPicPr/>
      </xdr:nvPicPr>
      <xdr:blipFill>
        <a:blip r:embed="rId548"/>
        <a:stretch>
          <a:fillRect/>
        </a:stretch>
      </xdr:blipFill>
      <xdr:spPr>
        <a:xfrm>
          <a:off x="0" y="0"/>
          <a:ext cx="4053840" cy="2186940"/>
        </a:xfrm>
        <a:prstGeom prst="rect">
          <a:avLst/>
        </a:prstGeom>
      </xdr:spPr>
    </xdr:pic>
  </etc:cellImage>
  <etc:cellImage>
    <xdr:pic>
      <xdr:nvPicPr>
        <xdr:cNvPr id="229" name="ID_CE98EAB9360C465F92B3136EF27682AD" descr="upload_post_object_v2_1679491804"/>
        <xdr:cNvPicPr/>
      </xdr:nvPicPr>
      <xdr:blipFill>
        <a:blip r:embed="rId549"/>
        <a:stretch>
          <a:fillRect/>
        </a:stretch>
      </xdr:blipFill>
      <xdr:spPr>
        <a:xfrm>
          <a:off x="0" y="0"/>
          <a:ext cx="4069080" cy="2217420"/>
        </a:xfrm>
        <a:prstGeom prst="rect">
          <a:avLst/>
        </a:prstGeom>
      </xdr:spPr>
    </xdr:pic>
  </etc:cellImage>
  <etc:cellImage>
    <xdr:pic>
      <xdr:nvPicPr>
        <xdr:cNvPr id="231" name="ID_F26A2BEDE50649E685E40A3A9D316896" descr="upload_post_object_v2_3082180428"/>
        <xdr:cNvPicPr/>
      </xdr:nvPicPr>
      <xdr:blipFill>
        <a:blip r:embed="rId550"/>
        <a:stretch>
          <a:fillRect/>
        </a:stretch>
      </xdr:blipFill>
      <xdr:spPr>
        <a:xfrm>
          <a:off x="0" y="0"/>
          <a:ext cx="4038600" cy="2148840"/>
        </a:xfrm>
        <a:prstGeom prst="rect">
          <a:avLst/>
        </a:prstGeom>
      </xdr:spPr>
    </xdr:pic>
  </etc:cellImage>
  <etc:cellImage>
    <xdr:pic>
      <xdr:nvPicPr>
        <xdr:cNvPr id="237" name="ID_A00522E527E24094B387CDF94C476575" descr="upload_post_object_v2_3774149876"/>
        <xdr:cNvPicPr/>
      </xdr:nvPicPr>
      <xdr:blipFill>
        <a:blip r:embed="rId551"/>
        <a:stretch>
          <a:fillRect/>
        </a:stretch>
      </xdr:blipFill>
      <xdr:spPr>
        <a:xfrm>
          <a:off x="0" y="0"/>
          <a:ext cx="2910840" cy="2179320"/>
        </a:xfrm>
        <a:prstGeom prst="rect">
          <a:avLst/>
        </a:prstGeom>
      </xdr:spPr>
    </xdr:pic>
  </etc:cellImage>
  <etc:cellImage>
    <xdr:pic>
      <xdr:nvPicPr>
        <xdr:cNvPr id="261" name="ID_7D81BDB866AF423A9301535A6759746A" descr="upload_post_object_v2_26444124"/>
        <xdr:cNvPicPr/>
      </xdr:nvPicPr>
      <xdr:blipFill>
        <a:blip r:embed="rId552"/>
        <a:stretch>
          <a:fillRect/>
        </a:stretch>
      </xdr:blipFill>
      <xdr:spPr>
        <a:xfrm>
          <a:off x="0" y="0"/>
          <a:ext cx="3398520" cy="1912620"/>
        </a:xfrm>
        <a:prstGeom prst="rect">
          <a:avLst/>
        </a:prstGeom>
      </xdr:spPr>
    </xdr:pic>
  </etc:cellImage>
  <etc:cellImage>
    <xdr:pic>
      <xdr:nvPicPr>
        <xdr:cNvPr id="262" name="ID_58399E90BCF6468A82D70C1D841879C1" descr="upload_post_object_v2_3942724902"/>
        <xdr:cNvPicPr/>
      </xdr:nvPicPr>
      <xdr:blipFill>
        <a:blip r:embed="rId553"/>
        <a:stretch>
          <a:fillRect/>
        </a:stretch>
      </xdr:blipFill>
      <xdr:spPr>
        <a:xfrm>
          <a:off x="0" y="0"/>
          <a:ext cx="3970020" cy="21717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<sst xmlns="http://schemas.openxmlformats.org/spreadsheetml/2006/main" count="5559" uniqueCount="1800">
  <si>
    <t>药品名称</t>
  </si>
  <si>
    <t>CAS</t>
  </si>
  <si>
    <t>结构式</t>
  </si>
  <si>
    <t>纯度</t>
  </si>
  <si>
    <t>规格</t>
  </si>
  <si>
    <t>数量</t>
  </si>
  <si>
    <t>是否易制毒</t>
  </si>
  <si>
    <t>分类</t>
  </si>
  <si>
    <t>位置</t>
  </si>
  <si>
    <t>药品使用人、取用量</t>
  </si>
  <si>
    <t>EDA</t>
  </si>
  <si>
    <t>107-15-3</t>
  </si>
  <si>
    <t>500ml</t>
  </si>
  <si>
    <r>
      <rPr>
        <sz val="10"/>
        <color rgb="FF000000"/>
        <rFont val="宋体"/>
        <charset val="134"/>
      </rPr>
      <t>否</t>
    </r>
  </si>
  <si>
    <r>
      <rPr>
        <sz val="10"/>
        <color rgb="FF000000"/>
        <rFont val="宋体"/>
        <charset val="134"/>
      </rPr>
      <t>胺类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</si>
  <si>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1</t>
    </r>
  </si>
  <si>
    <r>
      <rPr>
        <sz val="10"/>
        <color rgb="FF000000"/>
        <rFont val="宋体"/>
        <charset val="134"/>
      </rPr>
      <t>脲素</t>
    </r>
  </si>
  <si>
    <t>54-13-6</t>
  </si>
  <si>
    <r>
      <rPr>
        <sz val="10"/>
        <color rgb="FF000000"/>
        <rFont val="Times New Roman"/>
        <charset val="134"/>
      </rPr>
      <t>500</t>
    </r>
    <r>
      <rPr>
        <sz val="10"/>
        <color rgb="FF000000"/>
        <rFont val="宋体"/>
        <charset val="134"/>
      </rPr>
      <t>公分</t>
    </r>
  </si>
  <si>
    <r>
      <rPr>
        <sz val="10"/>
        <color rgb="FF000000"/>
        <rFont val="Times New Roman"/>
        <charset val="134"/>
      </rPr>
      <t xml:space="preserve"> </t>
    </r>
    <r>
      <rPr>
        <sz val="10"/>
        <color rgb="FF000000"/>
        <rFont val="宋体"/>
        <charset val="134"/>
      </rPr>
      <t>胺类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</si>
  <si>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1</t>
    </r>
    <r>
      <rPr>
        <sz val="10"/>
        <color rgb="FF000000"/>
        <rFont val="宋体"/>
        <charset val="134"/>
      </rPr>
      <t>层</t>
    </r>
  </si>
  <si>
    <r>
      <rPr>
        <sz val="10"/>
        <rFont val="Times New Roman"/>
        <charset val="134"/>
      </rPr>
      <t>N-</t>
    </r>
    <r>
      <rPr>
        <sz val="10"/>
        <rFont val="宋体"/>
        <charset val="134"/>
      </rPr>
      <t>甲基对甲苯胺</t>
    </r>
  </si>
  <si>
    <t>623-08-5</t>
  </si>
  <si>
    <t>5g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</si>
  <si>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吴佳凯柜</t>
    </r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</si>
  <si>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氯</t>
    </r>
    <r>
      <rPr>
        <sz val="10"/>
        <color theme="1"/>
        <rFont val="Times New Roman"/>
        <charset val="134"/>
      </rPr>
      <t>-N-</t>
    </r>
    <r>
      <rPr>
        <sz val="10"/>
        <color theme="1"/>
        <rFont val="宋体"/>
        <charset val="134"/>
      </rPr>
      <t>甲基苯胺</t>
    </r>
  </si>
  <si>
    <t>932-96-7</t>
  </si>
  <si>
    <t>1g</t>
  </si>
  <si>
    <r>
      <rPr>
        <sz val="10"/>
        <color theme="1"/>
        <rFont val="Times New Roman"/>
        <charset val="134"/>
      </rPr>
      <t>N-</t>
    </r>
    <r>
      <rPr>
        <sz val="10"/>
        <color theme="1"/>
        <rFont val="宋体"/>
        <charset val="134"/>
      </rPr>
      <t>甲基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甲氧基苯胺</t>
    </r>
  </si>
  <si>
    <t>5961-59-1</t>
  </si>
  <si>
    <r>
      <rPr>
        <sz val="10"/>
        <color theme="1"/>
        <rFont val="Times New Roman"/>
        <charset val="134"/>
      </rPr>
      <t>N-</t>
    </r>
    <r>
      <rPr>
        <sz val="10"/>
        <color theme="1"/>
        <rFont val="宋体"/>
        <charset val="134"/>
      </rPr>
      <t>甲基对氟苯胺</t>
    </r>
  </si>
  <si>
    <t>459-59-6</t>
  </si>
  <si>
    <r>
      <rPr>
        <sz val="10"/>
        <color theme="1"/>
        <rFont val="Times New Roman"/>
        <charset val="134"/>
      </rPr>
      <t>N-</t>
    </r>
    <r>
      <rPr>
        <sz val="10"/>
        <color theme="1"/>
        <rFont val="宋体"/>
        <charset val="134"/>
      </rPr>
      <t>环已基苯胺</t>
    </r>
  </si>
  <si>
    <t>1821-36-9</t>
  </si>
  <si>
    <r>
      <rPr>
        <sz val="10"/>
        <color theme="1"/>
        <rFont val="Times New Roman"/>
        <charset val="134"/>
      </rPr>
      <t>N-</t>
    </r>
    <r>
      <rPr>
        <sz val="10"/>
        <color theme="1"/>
        <rFont val="宋体"/>
        <charset val="134"/>
      </rPr>
      <t>苄基苯胺</t>
    </r>
  </si>
  <si>
    <t>103-32-2</t>
  </si>
  <si>
    <r>
      <rPr>
        <sz val="10"/>
        <color theme="1"/>
        <rFont val="Times New Roman"/>
        <charset val="134"/>
      </rPr>
      <t>N-</t>
    </r>
    <r>
      <rPr>
        <sz val="10"/>
        <color theme="1"/>
        <rFont val="宋体"/>
        <charset val="134"/>
      </rPr>
      <t>甲基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硝基苯胺</t>
    </r>
  </si>
  <si>
    <t>100-15-2</t>
  </si>
  <si>
    <r>
      <rPr>
        <sz val="10"/>
        <color theme="1"/>
        <rFont val="宋体"/>
        <charset val="134"/>
      </rPr>
      <t>异丙胺</t>
    </r>
  </si>
  <si>
    <t>75-31-0</t>
  </si>
  <si>
    <t>250ml</t>
  </si>
  <si>
    <r>
      <rPr>
        <sz val="10"/>
        <color rgb="FF000000"/>
        <rFont val="Times New Roman"/>
        <charset val="134"/>
      </rPr>
      <t>216</t>
    </r>
    <r>
      <rPr>
        <sz val="10"/>
        <color rgb="FF000000"/>
        <rFont val="宋体"/>
        <charset val="134"/>
      </rPr>
      <t>保干器</t>
    </r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</si>
  <si>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碘苯胺</t>
    </r>
  </si>
  <si>
    <t>540-37-4</t>
  </si>
  <si>
    <t>60g</t>
  </si>
  <si>
    <t>25g</t>
  </si>
  <si>
    <r>
      <rPr>
        <sz val="10"/>
        <color theme="1"/>
        <rFont val="宋体"/>
        <charset val="134"/>
      </rPr>
      <t>盐酸羟胺</t>
    </r>
  </si>
  <si>
    <t>HONH3Cl</t>
  </si>
  <si>
    <r>
      <rPr>
        <sz val="10"/>
        <color rgb="FF000000"/>
        <rFont val="Times New Roman"/>
        <charset val="134"/>
      </rPr>
      <t>3-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134"/>
      </rPr>
      <t>-1-</t>
    </r>
    <r>
      <rPr>
        <sz val="10"/>
        <color rgb="FF000000"/>
        <rFont val="宋体"/>
        <charset val="134"/>
      </rPr>
      <t>丙醇</t>
    </r>
  </si>
  <si>
    <t>156-87-6</t>
  </si>
  <si>
    <t>100g</t>
  </si>
  <si>
    <r>
      <rPr>
        <sz val="10"/>
        <color rgb="FF000000"/>
        <rFont val="Times New Roman"/>
        <charset val="134"/>
      </rPr>
      <t>216</t>
    </r>
    <r>
      <rPr>
        <sz val="10"/>
        <color rgb="FF000000"/>
        <rFont val="宋体"/>
        <charset val="134"/>
      </rPr>
      <t>铁柜</t>
    </r>
  </si>
  <si>
    <r>
      <rPr>
        <sz val="10"/>
        <color theme="1"/>
        <rFont val="宋体"/>
        <charset val="134"/>
      </rPr>
      <t>苄胺</t>
    </r>
  </si>
  <si>
    <t>100-46-9</t>
  </si>
  <si>
    <r>
      <rPr>
        <sz val="10"/>
        <color theme="1"/>
        <rFont val="宋体"/>
        <charset val="134"/>
      </rPr>
      <t>对苯二胺</t>
    </r>
  </si>
  <si>
    <t xml:space="preserve"> 106-50-3 </t>
  </si>
  <si>
    <r>
      <rPr>
        <sz val="10"/>
        <color theme="1"/>
        <rFont val="宋体"/>
        <charset val="134"/>
      </rPr>
      <t>化学纯</t>
    </r>
  </si>
  <si>
    <t>500g</t>
  </si>
  <si>
    <r>
      <rPr>
        <sz val="10"/>
        <color rgb="FF000000"/>
        <rFont val="Times New Roman"/>
        <charset val="134"/>
      </rPr>
      <t>216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1</t>
    </r>
    <r>
      <rPr>
        <sz val="10"/>
        <color rgb="FF000000"/>
        <rFont val="宋体"/>
        <charset val="134"/>
      </rPr>
      <t>上</t>
    </r>
  </si>
  <si>
    <r>
      <rPr>
        <sz val="10"/>
        <color theme="1"/>
        <rFont val="宋体"/>
        <charset val="134"/>
      </rPr>
      <t>对甲氧基苯胺</t>
    </r>
  </si>
  <si>
    <t>104-94-9</t>
  </si>
  <si>
    <r>
      <rPr>
        <sz val="10"/>
        <color rgb="FF000000"/>
        <rFont val="宋体"/>
        <charset val="134"/>
      </rPr>
      <t>氯乙酰胺</t>
    </r>
  </si>
  <si>
    <r>
      <rPr>
        <sz val="10"/>
        <color theme="1"/>
        <rFont val="宋体"/>
        <charset val="134"/>
      </rPr>
      <t>正辛胺</t>
    </r>
  </si>
  <si>
    <t>111-86-4</t>
  </si>
  <si>
    <r>
      <rPr>
        <sz val="10"/>
        <color theme="1"/>
        <rFont val="宋体"/>
        <charset val="134"/>
      </rPr>
      <t>叔丁胺</t>
    </r>
  </si>
  <si>
    <t>75-64-9</t>
  </si>
  <si>
    <r>
      <rPr>
        <sz val="10"/>
        <color theme="1"/>
        <rFont val="宋体"/>
        <charset val="134"/>
      </rPr>
      <t>二氰二胺</t>
    </r>
  </si>
  <si>
    <t>461-58-5</t>
  </si>
  <si>
    <t>50g</t>
  </si>
  <si>
    <r>
      <rPr>
        <sz val="10"/>
        <color theme="1"/>
        <rFont val="Times New Roman"/>
        <charset val="134"/>
      </rPr>
      <t>4</t>
    </r>
    <r>
      <rPr>
        <sz val="10"/>
        <color theme="1"/>
        <rFont val="宋体"/>
        <charset val="134"/>
      </rPr>
      <t>，</t>
    </r>
    <r>
      <rPr>
        <sz val="10"/>
        <color theme="1"/>
        <rFont val="Times New Roman"/>
        <charset val="134"/>
      </rPr>
      <t>5-</t>
    </r>
    <r>
      <rPr>
        <sz val="10"/>
        <color theme="1"/>
        <rFont val="宋体"/>
        <charset val="134"/>
      </rPr>
      <t>二甲基邻苯二胺</t>
    </r>
  </si>
  <si>
    <t>3171-45-7</t>
  </si>
  <si>
    <r>
      <rPr>
        <sz val="10"/>
        <color theme="1"/>
        <rFont val="宋体"/>
        <charset val="134"/>
      </rPr>
      <t>正丁胺</t>
    </r>
  </si>
  <si>
    <t>109-73-9</t>
  </si>
  <si>
    <r>
      <rPr>
        <sz val="10"/>
        <color theme="1"/>
        <rFont val="宋体"/>
        <charset val="134"/>
      </rPr>
      <t>炔丙基胺</t>
    </r>
  </si>
  <si>
    <t>2450-71-7</t>
  </si>
  <si>
    <t>25ml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</si>
  <si>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氨基苯硫酚</t>
    </r>
  </si>
  <si>
    <t>137-07-5</t>
  </si>
  <si>
    <t>137-87-5</t>
  </si>
  <si>
    <t>95-55-6</t>
  </si>
  <si>
    <r>
      <rPr>
        <sz val="10"/>
        <color theme="1"/>
        <rFont val="宋体"/>
        <charset val="134"/>
      </rPr>
      <t>正丙胺</t>
    </r>
  </si>
  <si>
    <t>621-79-4</t>
  </si>
  <si>
    <r>
      <rPr>
        <sz val="10"/>
        <rFont val="宋体"/>
        <charset val="134"/>
      </rPr>
      <t>盐酸羟胺</t>
    </r>
  </si>
  <si>
    <t>NH2OHHCI</t>
  </si>
  <si>
    <r>
      <rPr>
        <sz val="10"/>
        <color theme="1"/>
        <rFont val="宋体"/>
        <charset val="134"/>
      </rPr>
      <t>邻氨基苯硫酚</t>
    </r>
  </si>
  <si>
    <r>
      <rPr>
        <sz val="10"/>
        <color theme="1"/>
        <rFont val="Times New Roman"/>
        <charset val="134"/>
      </rPr>
      <t>4 -</t>
    </r>
    <r>
      <rPr>
        <sz val="10"/>
        <color theme="1"/>
        <rFont val="宋体"/>
        <charset val="134"/>
      </rPr>
      <t>溴</t>
    </r>
    <r>
      <rPr>
        <sz val="10"/>
        <color theme="1"/>
        <rFont val="Times New Roman"/>
        <charset val="134"/>
      </rPr>
      <t xml:space="preserve">- 2 - </t>
    </r>
    <r>
      <rPr>
        <sz val="10"/>
        <color theme="1"/>
        <rFont val="宋体"/>
        <charset val="134"/>
      </rPr>
      <t>碘苯甲胺</t>
    </r>
  </si>
  <si>
    <t>66416-72-6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</si>
  <si>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碘硫代苯甲酰胺</t>
    </r>
  </si>
  <si>
    <t>81568-85-6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</si>
  <si>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碘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甲氧基苯基胺</t>
    </r>
  </si>
  <si>
    <t>191348-14-8</t>
  </si>
  <si>
    <r>
      <rPr>
        <sz val="10"/>
        <rFont val="宋体"/>
        <charset val="134"/>
      </rPr>
      <t>乙二胺</t>
    </r>
  </si>
  <si>
    <r>
      <rPr>
        <sz val="10"/>
        <color theme="1"/>
        <rFont val="Times New Roman"/>
        <charset val="134"/>
      </rPr>
      <t>N-</t>
    </r>
    <r>
      <rPr>
        <sz val="10"/>
        <color theme="1"/>
        <rFont val="宋体"/>
        <charset val="134"/>
      </rPr>
      <t>甲基苯胺</t>
    </r>
  </si>
  <si>
    <t>100-61-8</t>
  </si>
  <si>
    <t>50ml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</si>
  <si>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氯邻碘苯胺</t>
    </r>
  </si>
  <si>
    <t>63069-48-7</t>
  </si>
  <si>
    <r>
      <rPr>
        <sz val="10"/>
        <color theme="1"/>
        <rFont val="宋体"/>
        <charset val="134"/>
      </rPr>
      <t>乙二胺</t>
    </r>
  </si>
  <si>
    <r>
      <rPr>
        <sz val="10"/>
        <color theme="1"/>
        <rFont val="Times New Roman"/>
        <charset val="134"/>
      </rPr>
      <t>N-N</t>
    </r>
    <r>
      <rPr>
        <sz val="10"/>
        <color theme="1"/>
        <rFont val="宋体"/>
        <charset val="134"/>
      </rPr>
      <t>二异丙基乙基胺</t>
    </r>
  </si>
  <si>
    <t>7087-68-5</t>
  </si>
  <si>
    <r>
      <rPr>
        <sz val="10"/>
        <color theme="1"/>
        <rFont val="宋体"/>
        <charset val="134"/>
      </rPr>
      <t>邻甲苯胺</t>
    </r>
  </si>
  <si>
    <t>99-53-4</t>
  </si>
  <si>
    <r>
      <rPr>
        <sz val="10"/>
        <color theme="1"/>
        <rFont val="宋体"/>
        <charset val="134"/>
      </rPr>
      <t>邻氯苯胺</t>
    </r>
  </si>
  <si>
    <t>95-51-2</t>
  </si>
  <si>
    <t>216冰箱一层</t>
  </si>
  <si>
    <r>
      <rPr>
        <sz val="10"/>
        <color theme="1"/>
        <rFont val="宋体"/>
        <charset val="134"/>
      </rPr>
      <t>苯胺</t>
    </r>
  </si>
  <si>
    <t>62-53-3</t>
  </si>
  <si>
    <r>
      <rPr>
        <sz val="10"/>
        <color theme="1"/>
        <rFont val="宋体"/>
        <charset val="134"/>
      </rPr>
      <t>＞</t>
    </r>
    <r>
      <rPr>
        <sz val="10"/>
        <color theme="1"/>
        <rFont val="Times New Roman"/>
        <charset val="134"/>
      </rPr>
      <t>99.5</t>
    </r>
    <r>
      <rPr>
        <sz val="10"/>
        <color theme="1"/>
        <rFont val="宋体"/>
        <charset val="134"/>
      </rPr>
      <t>％</t>
    </r>
  </si>
  <si>
    <t>95-53-4</t>
  </si>
  <si>
    <r>
      <rPr>
        <sz val="10"/>
        <color theme="1"/>
        <rFont val="宋体"/>
        <charset val="134"/>
      </rPr>
      <t>丙烯酰胺</t>
    </r>
  </si>
  <si>
    <t>250g</t>
  </si>
  <si>
    <r>
      <rPr>
        <sz val="10"/>
        <color theme="1"/>
        <rFont val="Times New Roman"/>
        <charset val="134"/>
      </rPr>
      <t>2,4-</t>
    </r>
    <r>
      <rPr>
        <sz val="10"/>
        <color theme="1"/>
        <rFont val="宋体"/>
        <charset val="134"/>
      </rPr>
      <t>二溴苯胺</t>
    </r>
  </si>
  <si>
    <t>615-57-6</t>
  </si>
  <si>
    <r>
      <rPr>
        <sz val="10"/>
        <color theme="1"/>
        <rFont val="宋体"/>
        <charset val="134"/>
      </rPr>
      <t>三乙胺</t>
    </r>
  </si>
  <si>
    <t>121-44-8</t>
  </si>
  <si>
    <r>
      <rPr>
        <sz val="10"/>
        <color theme="1"/>
        <rFont val="Times New Roman"/>
        <charset val="134"/>
      </rPr>
      <t>DMF</t>
    </r>
    <r>
      <rPr>
        <sz val="10"/>
        <color theme="1"/>
        <rFont val="宋体"/>
        <charset val="134"/>
      </rPr>
      <t>（含</t>
    </r>
    <r>
      <rPr>
        <sz val="10"/>
        <color theme="1"/>
        <rFont val="Times New Roman"/>
        <charset val="134"/>
      </rPr>
      <t>CO2</t>
    </r>
    <r>
      <rPr>
        <sz val="10"/>
        <color theme="1"/>
        <rFont val="宋体"/>
        <charset val="134"/>
      </rPr>
      <t>）</t>
    </r>
  </si>
  <si>
    <t>68-12-2</t>
  </si>
  <si>
    <r>
      <rPr>
        <sz val="10"/>
        <color rgb="FF000000"/>
        <rFont val="Times New Roman"/>
        <charset val="134"/>
      </rPr>
      <t xml:space="preserve"> </t>
    </r>
    <r>
      <rPr>
        <sz val="10"/>
        <color rgb="FF000000"/>
        <rFont val="宋体"/>
        <charset val="134"/>
      </rPr>
      <t>否</t>
    </r>
  </si>
  <si>
    <r>
      <rPr>
        <sz val="10"/>
        <color rgb="FF000000"/>
        <rFont val="Times New Roman"/>
        <charset val="134"/>
      </rPr>
      <t>N,N-</t>
    </r>
    <r>
      <rPr>
        <sz val="10"/>
        <color rgb="FF000000"/>
        <rFont val="宋体"/>
        <charset val="134"/>
      </rPr>
      <t>二甲基甲酰胺</t>
    </r>
  </si>
  <si>
    <r>
      <rPr>
        <sz val="10"/>
        <color theme="1"/>
        <rFont val="Times New Roman"/>
        <charset val="134"/>
      </rPr>
      <t>N,N-</t>
    </r>
    <r>
      <rPr>
        <sz val="10"/>
        <color theme="1"/>
        <rFont val="宋体"/>
        <charset val="134"/>
      </rPr>
      <t>二甲基甲酰胺</t>
    </r>
  </si>
  <si>
    <r>
      <rPr>
        <sz val="10"/>
        <rFont val="宋体"/>
        <charset val="134"/>
      </rPr>
      <t>邻苯二胺</t>
    </r>
  </si>
  <si>
    <t>95-54-5</t>
  </si>
  <si>
    <r>
      <rPr>
        <sz val="10"/>
        <color rgb="FF000000"/>
        <rFont val="Times New Roman"/>
        <charset val="134"/>
      </rPr>
      <t>N,N'-</t>
    </r>
    <r>
      <rPr>
        <sz val="10"/>
        <color rgb="FF000000"/>
        <rFont val="宋体"/>
        <charset val="134"/>
      </rPr>
      <t>二乙基乙二胺</t>
    </r>
  </si>
  <si>
    <t>111-74-0</t>
  </si>
  <si>
    <t>5ml</t>
  </si>
  <si>
    <r>
      <rPr>
        <sz val="10"/>
        <color rgb="FF000000"/>
        <rFont val="Times New Roman"/>
        <charset val="134"/>
      </rPr>
      <t>216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1</t>
    </r>
    <r>
      <rPr>
        <sz val="10"/>
        <color rgb="FF000000"/>
        <rFont val="宋体"/>
        <charset val="134"/>
      </rPr>
      <t>下</t>
    </r>
  </si>
  <si>
    <t>1L</t>
  </si>
  <si>
    <r>
      <rPr>
        <sz val="10"/>
        <color theme="1"/>
        <rFont val="宋体"/>
        <charset val="134"/>
      </rPr>
      <t>二异丙胺</t>
    </r>
  </si>
  <si>
    <t>108-18-9</t>
  </si>
  <si>
    <r>
      <rPr>
        <sz val="10"/>
        <color theme="1"/>
        <rFont val="宋体"/>
        <charset val="134"/>
      </rPr>
      <t>苯肼</t>
    </r>
  </si>
  <si>
    <t>100-63-0</t>
  </si>
  <si>
    <r>
      <rPr>
        <sz val="10"/>
        <color theme="1"/>
        <rFont val="宋体"/>
        <charset val="134"/>
      </rPr>
      <t>水合肼</t>
    </r>
  </si>
  <si>
    <t>10217-52-4</t>
  </si>
  <si>
    <r>
      <rPr>
        <sz val="10"/>
        <color indexed="8"/>
        <rFont val="宋体"/>
        <charset val="134"/>
      </rPr>
      <t>异丁胺</t>
    </r>
  </si>
  <si>
    <t>78-81-9</t>
  </si>
  <si>
    <r>
      <rPr>
        <sz val="10"/>
        <color rgb="FF000000"/>
        <rFont val="宋体"/>
        <charset val="134"/>
      </rPr>
      <t>是</t>
    </r>
  </si>
  <si>
    <r>
      <rPr>
        <sz val="10"/>
        <rFont val="宋体"/>
        <charset val="134"/>
      </rPr>
      <t>二苄胺</t>
    </r>
  </si>
  <si>
    <t>103-49-1</t>
  </si>
  <si>
    <r>
      <rPr>
        <sz val="10"/>
        <color theme="1"/>
        <rFont val="宋体"/>
        <charset val="134"/>
      </rPr>
      <t>二环己基碳二亚胺</t>
    </r>
  </si>
  <si>
    <t>538-75-0</t>
  </si>
  <si>
    <r>
      <rPr>
        <sz val="10"/>
        <color theme="1"/>
        <rFont val="宋体"/>
        <charset val="134"/>
      </rPr>
      <t>六次甲基四胺</t>
    </r>
  </si>
  <si>
    <t>100-97-0</t>
  </si>
  <si>
    <t>96-51-2</t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</si>
  <si>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碘苯胺</t>
    </r>
  </si>
  <si>
    <t>615-43-0</t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</si>
  <si>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异丁胺</t>
    </r>
  </si>
  <si>
    <t>110-96-3</t>
  </si>
  <si>
    <t>100mL</t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</si>
  <si>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134"/>
      </rPr>
      <t>-4-</t>
    </r>
    <r>
      <rPr>
        <sz val="10"/>
        <color rgb="FF000000"/>
        <rFont val="宋体"/>
        <charset val="134"/>
      </rPr>
      <t>苯基噻唑</t>
    </r>
  </si>
  <si>
    <r>
      <rPr>
        <sz val="10"/>
        <color rgb="FF000000"/>
        <rFont val="宋体"/>
        <charset val="134"/>
      </rPr>
      <t>三乙醇胺</t>
    </r>
  </si>
  <si>
    <t>102-71-6</t>
  </si>
  <si>
    <r>
      <rPr>
        <sz val="10"/>
        <color rgb="FF000000"/>
        <rFont val="宋体"/>
        <charset val="134"/>
      </rPr>
      <t>苯胺</t>
    </r>
  </si>
  <si>
    <r>
      <rPr>
        <sz val="10"/>
        <color indexed="8"/>
        <rFont val="Times New Roman"/>
        <charset val="134"/>
      </rPr>
      <t>1-</t>
    </r>
    <r>
      <rPr>
        <sz val="10"/>
        <color indexed="8"/>
        <rFont val="宋体"/>
        <charset val="134"/>
      </rPr>
      <t>（</t>
    </r>
    <r>
      <rPr>
        <sz val="10"/>
        <color indexed="8"/>
        <rFont val="Times New Roman"/>
        <charset val="134"/>
      </rPr>
      <t>1-</t>
    </r>
    <r>
      <rPr>
        <sz val="10"/>
        <color indexed="8"/>
        <rFont val="宋体"/>
        <charset val="134"/>
      </rPr>
      <t>萘基）乙胺</t>
    </r>
  </si>
  <si>
    <t>42882-31-5</t>
  </si>
  <si>
    <r>
      <rPr>
        <sz val="10"/>
        <color rgb="FF000000"/>
        <rFont val="宋体"/>
        <charset val="134"/>
      </rPr>
      <t>二正丁胺</t>
    </r>
  </si>
  <si>
    <t>111-92-2</t>
  </si>
  <si>
    <t>25mL</t>
  </si>
  <si>
    <r>
      <rPr>
        <sz val="10"/>
        <color rgb="FF000000"/>
        <rFont val="宋体"/>
        <charset val="134"/>
      </rPr>
      <t>苄胺</t>
    </r>
  </si>
  <si>
    <r>
      <rPr>
        <sz val="10"/>
        <color rgb="FF000000"/>
        <rFont val="宋体"/>
        <charset val="134"/>
      </rPr>
      <t>二异丙胺</t>
    </r>
  </si>
  <si>
    <r>
      <rPr>
        <sz val="10"/>
        <color rgb="FF000000"/>
        <rFont val="Times New Roman"/>
        <charset val="134"/>
      </rPr>
      <t>N,N'-</t>
    </r>
    <r>
      <rPr>
        <sz val="10"/>
        <color rgb="FF000000"/>
        <rFont val="宋体"/>
        <charset val="134"/>
      </rPr>
      <t>二甲基乙二胺</t>
    </r>
  </si>
  <si>
    <t>110-70-3</t>
  </si>
  <si>
    <t>10g</t>
  </si>
  <si>
    <r>
      <rPr>
        <sz val="10"/>
        <color rgb="FF000000"/>
        <rFont val="宋体"/>
        <charset val="134"/>
      </rPr>
      <t>二己胺</t>
    </r>
  </si>
  <si>
    <t>143-16-8</t>
  </si>
  <si>
    <r>
      <rPr>
        <sz val="10"/>
        <color rgb="FF000000"/>
        <rFont val="宋体"/>
        <charset val="134"/>
      </rPr>
      <t>碘化铵</t>
    </r>
  </si>
  <si>
    <t>12027-06-4</t>
  </si>
  <si>
    <r>
      <rPr>
        <sz val="10"/>
        <color rgb="FF000000"/>
        <rFont val="宋体"/>
        <charset val="134"/>
      </rPr>
      <t>＞</t>
    </r>
    <r>
      <rPr>
        <sz val="10"/>
        <color rgb="FF000000"/>
        <rFont val="Times New Roman"/>
        <charset val="134"/>
      </rPr>
      <t>96</t>
    </r>
    <r>
      <rPr>
        <sz val="10"/>
        <color rgb="FF000000"/>
        <rFont val="宋体"/>
        <charset val="134"/>
      </rPr>
      <t>％</t>
    </r>
  </si>
  <si>
    <r>
      <rPr>
        <sz val="10"/>
        <color theme="1"/>
        <rFont val="宋体"/>
        <charset val="134"/>
      </rPr>
      <t>四甲基乙二胺</t>
    </r>
  </si>
  <si>
    <t>110-18-9</t>
  </si>
  <si>
    <r>
      <rPr>
        <sz val="10"/>
        <color rgb="FF000000"/>
        <rFont val="Times New Roman"/>
        <charset val="134"/>
      </rPr>
      <t>216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上</t>
    </r>
  </si>
  <si>
    <r>
      <rPr>
        <sz val="10"/>
        <color rgb="FF000000"/>
        <rFont val="Times New Roman"/>
        <charset val="134"/>
      </rPr>
      <t>216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上</t>
    </r>
  </si>
  <si>
    <r>
      <rPr>
        <sz val="10"/>
        <color theme="1"/>
        <rFont val="宋体"/>
        <charset val="134"/>
      </rPr>
      <t>邻苯二胺</t>
    </r>
  </si>
  <si>
    <r>
      <rPr>
        <sz val="10"/>
        <color rgb="FF000000"/>
        <rFont val="Times New Roman"/>
        <charset val="134"/>
      </rPr>
      <t>216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4</t>
    </r>
    <r>
      <rPr>
        <sz val="10"/>
        <color rgb="FF000000"/>
        <rFont val="宋体"/>
        <charset val="134"/>
      </rPr>
      <t>上</t>
    </r>
  </si>
  <si>
    <r>
      <rPr>
        <sz val="10"/>
        <color theme="1"/>
        <rFont val="Times New Roman"/>
        <charset val="134"/>
      </rPr>
      <t>N,N-</t>
    </r>
    <r>
      <rPr>
        <sz val="10"/>
        <color theme="1"/>
        <rFont val="宋体"/>
        <charset val="134"/>
      </rPr>
      <t>二甲苯胺</t>
    </r>
  </si>
  <si>
    <t>121-69-7</t>
  </si>
  <si>
    <t>100ml</t>
  </si>
  <si>
    <r>
      <rPr>
        <sz val="10"/>
        <color theme="1"/>
        <rFont val="Times New Roman"/>
        <charset val="134"/>
      </rPr>
      <t>N,N-</t>
    </r>
    <r>
      <rPr>
        <sz val="10"/>
        <color theme="1"/>
        <rFont val="宋体"/>
        <charset val="134"/>
      </rPr>
      <t>二甲基十二胺</t>
    </r>
  </si>
  <si>
    <t>112-18-5</t>
  </si>
  <si>
    <r>
      <rPr>
        <sz val="10"/>
        <color theme="1"/>
        <rFont val="Times New Roman"/>
        <charset val="134"/>
      </rPr>
      <t>3,4-</t>
    </r>
    <r>
      <rPr>
        <sz val="10"/>
        <color theme="1"/>
        <rFont val="宋体"/>
        <charset val="134"/>
      </rPr>
      <t>二甲基苯胺</t>
    </r>
  </si>
  <si>
    <t>95-64-7</t>
  </si>
  <si>
    <r>
      <rPr>
        <sz val="10"/>
        <color rgb="FF000000"/>
        <rFont val="宋体"/>
        <charset val="134"/>
      </rPr>
      <t>二醇胺</t>
    </r>
  </si>
  <si>
    <t>141-43-5</t>
  </si>
  <si>
    <t>&gt;99.99%</t>
  </si>
  <si>
    <r>
      <rPr>
        <sz val="10"/>
        <color rgb="FF000000"/>
        <rFont val="宋体"/>
        <charset val="134"/>
      </rPr>
      <t>三乙胺</t>
    </r>
  </si>
  <si>
    <r>
      <rPr>
        <sz val="10"/>
        <color rgb="FF000000"/>
        <rFont val="宋体"/>
        <charset val="134"/>
      </rPr>
      <t>二苯甲胺</t>
    </r>
  </si>
  <si>
    <t>91-00-9</t>
  </si>
  <si>
    <r>
      <rPr>
        <sz val="10"/>
        <color rgb="FF000000"/>
        <rFont val="宋体"/>
        <charset val="134"/>
      </rPr>
      <t>乙醇胺</t>
    </r>
  </si>
  <si>
    <r>
      <rPr>
        <sz val="10"/>
        <color rgb="FF000000"/>
        <rFont val="宋体"/>
        <charset val="134"/>
      </rPr>
      <t>郑浩然柜</t>
    </r>
  </si>
  <si>
    <r>
      <rPr>
        <sz val="10"/>
        <color theme="1"/>
        <rFont val="Times New Roman"/>
        <charset val="134"/>
      </rPr>
      <t>3,5-</t>
    </r>
    <r>
      <rPr>
        <sz val="10"/>
        <color theme="1"/>
        <rFont val="宋体"/>
        <charset val="134"/>
      </rPr>
      <t>二甲基苯胺</t>
    </r>
  </si>
  <si>
    <t>108-69-0</t>
  </si>
  <si>
    <r>
      <rPr>
        <sz val="10"/>
        <color theme="1"/>
        <rFont val="Times New Roman"/>
        <charset val="134"/>
      </rPr>
      <t>3,5-</t>
    </r>
    <r>
      <rPr>
        <sz val="10"/>
        <color theme="1"/>
        <rFont val="宋体"/>
        <charset val="134"/>
      </rPr>
      <t>二氟苯胺</t>
    </r>
  </si>
  <si>
    <t>372-39-4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</si>
  <si>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氟苯胺</t>
    </r>
  </si>
  <si>
    <t>371-40-4</t>
  </si>
  <si>
    <t>yang话</t>
  </si>
  <si>
    <t>518-12-1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</si>
  <si>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冰箱侧门</t>
    </r>
  </si>
  <si>
    <r>
      <rPr>
        <sz val="10"/>
        <color theme="1"/>
        <rFont val="Times New Roman"/>
        <charset val="134"/>
      </rPr>
      <t>1,3-</t>
    </r>
    <r>
      <rPr>
        <sz val="10"/>
        <color theme="1"/>
        <rFont val="宋体"/>
        <charset val="134"/>
      </rPr>
      <t>苯二胺</t>
    </r>
  </si>
  <si>
    <t>108-45-2</t>
  </si>
  <si>
    <r>
      <rPr>
        <sz val="10"/>
        <color theme="1"/>
        <rFont val="Times New Roman"/>
        <charset val="134"/>
      </rPr>
      <t>1,4-</t>
    </r>
    <r>
      <rPr>
        <sz val="10"/>
        <color theme="1"/>
        <rFont val="宋体"/>
        <charset val="134"/>
      </rPr>
      <t>苯二胺</t>
    </r>
  </si>
  <si>
    <t>106-50-3</t>
  </si>
  <si>
    <t>103-67-3</t>
  </si>
  <si>
    <t>&gt;98%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</si>
  <si>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溴苯甲胺</t>
    </r>
  </si>
  <si>
    <r>
      <rPr>
        <sz val="10"/>
        <color theme="1"/>
        <rFont val="Times New Roman"/>
        <charset val="134"/>
      </rPr>
      <t>2,2-</t>
    </r>
    <r>
      <rPr>
        <sz val="10"/>
        <color theme="1"/>
        <rFont val="宋体"/>
        <charset val="134"/>
      </rPr>
      <t>二吡啶胺</t>
    </r>
  </si>
  <si>
    <t>1202-34-2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</si>
  <si>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碘苯甲酰胺</t>
    </r>
  </si>
  <si>
    <t>3930-83-4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</si>
  <si>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溴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碘苯胺</t>
    </r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</si>
  <si>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氨基苯甲酰胺</t>
    </r>
  </si>
  <si>
    <t>88-68-6</t>
  </si>
  <si>
    <r>
      <rPr>
        <sz val="10"/>
        <color theme="1"/>
        <rFont val="宋体"/>
        <charset val="134"/>
      </rPr>
      <t>邻硝基苯胺</t>
    </r>
  </si>
  <si>
    <t>88-74-4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</si>
  <si>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冰箱一层</t>
    </r>
  </si>
  <si>
    <r>
      <rPr>
        <sz val="10"/>
        <color theme="1"/>
        <rFont val="Times New Roman"/>
        <charset val="134"/>
      </rPr>
      <t>201</t>
    </r>
    <r>
      <rPr>
        <sz val="10"/>
        <color theme="1"/>
        <rFont val="宋体"/>
        <charset val="134"/>
      </rPr>
      <t>冰箱一层</t>
    </r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</si>
  <si>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甲基</t>
    </r>
    <r>
      <rPr>
        <sz val="10"/>
        <color rgb="FF000000"/>
        <rFont val="Times New Roman"/>
        <charset val="134"/>
      </rPr>
      <t>-3-</t>
    </r>
    <r>
      <rPr>
        <sz val="10"/>
        <color rgb="FF000000"/>
        <rFont val="宋体"/>
        <charset val="134"/>
      </rPr>
      <t>丁炔</t>
    </r>
    <r>
      <rPr>
        <sz val="10"/>
        <color rgb="FF000000"/>
        <rFont val="Times New Roman"/>
        <charset val="134"/>
      </rPr>
      <t>-2-</t>
    </r>
    <r>
      <rPr>
        <sz val="10"/>
        <color rgb="FF000000"/>
        <rFont val="宋体"/>
        <charset val="134"/>
      </rPr>
      <t>胺</t>
    </r>
  </si>
  <si>
    <t>2978-58-7</t>
  </si>
  <si>
    <r>
      <rPr>
        <sz val="10"/>
        <color rgb="FF000000"/>
        <rFont val="Times New Roman"/>
        <charset val="134"/>
      </rPr>
      <t>N-</t>
    </r>
    <r>
      <rPr>
        <sz val="10"/>
        <color rgb="FF000000"/>
        <rFont val="宋体"/>
        <charset val="134"/>
      </rPr>
      <t>甲基邻苯二胺</t>
    </r>
  </si>
  <si>
    <t>4760-34-3</t>
  </si>
  <si>
    <r>
      <rPr>
        <sz val="10"/>
        <color theme="1"/>
        <rFont val="Times New Roman"/>
        <charset val="134"/>
      </rPr>
      <t>2,4,6-</t>
    </r>
    <r>
      <rPr>
        <sz val="10"/>
        <color theme="1"/>
        <rFont val="宋体"/>
        <charset val="134"/>
      </rPr>
      <t>三甲基苯胺</t>
    </r>
  </si>
  <si>
    <t>88-05-1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</si>
  <si>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冰箱二层</t>
    </r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</si>
  <si>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冰箱三层</t>
    </r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</si>
  <si>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硝基乙酰苯胺</t>
    </r>
  </si>
  <si>
    <t>552-32-9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</si>
  <si>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冰箱四层</t>
    </r>
  </si>
  <si>
    <r>
      <rPr>
        <sz val="10"/>
        <color rgb="FF000000"/>
        <rFont val="Times New Roman"/>
        <charset val="134"/>
      </rPr>
      <t>3-</t>
    </r>
    <r>
      <rPr>
        <sz val="10"/>
        <color rgb="FF000000"/>
        <rFont val="宋体"/>
        <charset val="134"/>
      </rPr>
      <t>甲基</t>
    </r>
    <r>
      <rPr>
        <sz val="10"/>
        <color rgb="FF000000"/>
        <rFont val="Times New Roman"/>
        <charset val="134"/>
      </rPr>
      <t>-2-</t>
    </r>
    <r>
      <rPr>
        <sz val="10"/>
        <color rgb="FF000000"/>
        <rFont val="宋体"/>
        <charset val="134"/>
      </rPr>
      <t>硝基苯胺</t>
    </r>
  </si>
  <si>
    <t>601-87-6</t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</si>
  <si>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氨基苄胺</t>
    </r>
  </si>
  <si>
    <t>4403-69-4</t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</si>
  <si>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氨基苯磺酰胺</t>
    </r>
  </si>
  <si>
    <t>3306-62-5</t>
  </si>
  <si>
    <r>
      <rPr>
        <sz val="10"/>
        <color rgb="FF000000"/>
        <rFont val="宋体"/>
        <charset val="134"/>
      </rPr>
      <t>邻苯二甲酰胺</t>
    </r>
  </si>
  <si>
    <t>88-96-0</t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</si>
  <si>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134"/>
      </rPr>
      <t>-3-</t>
    </r>
    <r>
      <rPr>
        <sz val="10"/>
        <color rgb="FF000000"/>
        <rFont val="宋体"/>
        <charset val="134"/>
      </rPr>
      <t>硝基吡啶</t>
    </r>
  </si>
  <si>
    <t>4214-75-9</t>
  </si>
  <si>
    <r>
      <rPr>
        <sz val="10"/>
        <color rgb="FF000000"/>
        <rFont val="宋体"/>
        <charset val="134"/>
      </rPr>
      <t>苯磺酰胺</t>
    </r>
  </si>
  <si>
    <t>98-10-2</t>
  </si>
  <si>
    <t>苯黄酰脲</t>
  </si>
  <si>
    <r>
      <rPr>
        <sz val="10"/>
        <color rgb="FF000000"/>
        <rFont val="Times New Roman"/>
        <charset val="134"/>
      </rPr>
      <t>L-</t>
    </r>
    <r>
      <rPr>
        <sz val="10"/>
        <color rgb="FF000000"/>
        <rFont val="宋体"/>
        <charset val="134"/>
      </rPr>
      <t>苯甘氨酰胺（右旋苯甘氨酰胺）</t>
    </r>
  </si>
  <si>
    <t>6485-52-5</t>
  </si>
  <si>
    <r>
      <rPr>
        <sz val="10"/>
        <color rgb="FF000000"/>
        <rFont val="Times New Roman"/>
        <charset val="134"/>
      </rPr>
      <t>4</t>
    </r>
    <r>
      <rPr>
        <sz val="10"/>
        <color rgb="FF000000"/>
        <rFont val="宋体"/>
        <charset val="134"/>
      </rPr>
      <t>，</t>
    </r>
    <r>
      <rPr>
        <sz val="10"/>
        <color rgb="FF000000"/>
        <rFont val="Times New Roman"/>
        <charset val="134"/>
      </rPr>
      <t>5-</t>
    </r>
    <r>
      <rPr>
        <sz val="10"/>
        <color rgb="FF000000"/>
        <rFont val="宋体"/>
        <charset val="134"/>
      </rPr>
      <t>二氯邻苯二胺</t>
    </r>
  </si>
  <si>
    <t>5348-42-5</t>
  </si>
  <si>
    <r>
      <rPr>
        <sz val="10"/>
        <color rgb="FF000000"/>
        <rFont val="Times New Roman"/>
        <charset val="134"/>
      </rPr>
      <t>1</t>
    </r>
    <r>
      <rPr>
        <sz val="10"/>
        <color rgb="FF000000"/>
        <rFont val="宋体"/>
        <charset val="134"/>
      </rPr>
      <t>，</t>
    </r>
    <r>
      <rPr>
        <sz val="10"/>
        <color rgb="FF000000"/>
        <rFont val="Times New Roman"/>
        <charset val="134"/>
      </rPr>
      <t>3-</t>
    </r>
    <r>
      <rPr>
        <sz val="10"/>
        <color rgb="FF000000"/>
        <rFont val="宋体"/>
        <charset val="134"/>
      </rPr>
      <t>苯二甲胺</t>
    </r>
  </si>
  <si>
    <t>1477-55-0</t>
  </si>
  <si>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，</t>
    </r>
    <r>
      <rPr>
        <sz val="10"/>
        <color rgb="FF000000"/>
        <rFont val="Times New Roman"/>
        <charset val="134"/>
      </rPr>
      <t>3-</t>
    </r>
    <r>
      <rPr>
        <sz val="10"/>
        <color rgb="FF000000"/>
        <rFont val="宋体"/>
        <charset val="134"/>
      </rPr>
      <t>二氨基萘</t>
    </r>
  </si>
  <si>
    <t>771-97-1</t>
  </si>
  <si>
    <r>
      <rPr>
        <sz val="10"/>
        <color rgb="FF000000"/>
        <rFont val="Times New Roman"/>
        <charset val="134"/>
      </rPr>
      <t>3-</t>
    </r>
    <r>
      <rPr>
        <sz val="10"/>
        <color rgb="FF000000"/>
        <rFont val="宋体"/>
        <charset val="134"/>
      </rPr>
      <t>氯邻苯二胺</t>
    </r>
  </si>
  <si>
    <t>21745-41-5</t>
  </si>
  <si>
    <r>
      <rPr>
        <sz val="10"/>
        <color rgb="FF000000"/>
        <rFont val="Times New Roman"/>
        <charset val="134"/>
      </rPr>
      <t>5-</t>
    </r>
    <r>
      <rPr>
        <sz val="9.75"/>
        <color rgb="FF000000"/>
        <rFont val="宋体"/>
        <charset val="134"/>
      </rPr>
      <t>甲基</t>
    </r>
    <r>
      <rPr>
        <sz val="9.75"/>
        <color rgb="FF000000"/>
        <rFont val="Times New Roman"/>
        <charset val="134"/>
      </rPr>
      <t>-2-</t>
    </r>
    <r>
      <rPr>
        <sz val="9.75"/>
        <color rgb="FF000000"/>
        <rFont val="宋体"/>
        <charset val="134"/>
      </rPr>
      <t>硝基苯胺</t>
    </r>
  </si>
  <si>
    <t>578-46-1</t>
  </si>
  <si>
    <r>
      <rPr>
        <sz val="10"/>
        <color rgb="FF000000"/>
        <rFont val="Times New Roman"/>
        <charset val="134"/>
      </rPr>
      <t>N-</t>
    </r>
    <r>
      <rPr>
        <sz val="10"/>
        <color rgb="FF000000"/>
        <rFont val="宋体"/>
        <charset val="134"/>
      </rPr>
      <t>甲基</t>
    </r>
    <r>
      <rPr>
        <sz val="10"/>
        <color rgb="FF000000"/>
        <rFont val="Times New Roman"/>
        <charset val="134"/>
      </rPr>
      <t>-N-</t>
    </r>
    <r>
      <rPr>
        <sz val="10"/>
        <color rgb="FF000000"/>
        <rFont val="宋体"/>
        <charset val="134"/>
      </rPr>
      <t>（</t>
    </r>
    <r>
      <rPr>
        <sz val="10"/>
        <color rgb="FF000000"/>
        <rFont val="Times New Roman"/>
        <charset val="134"/>
      </rPr>
      <t>4-</t>
    </r>
    <r>
      <rPr>
        <sz val="10"/>
        <color rgb="FF000000"/>
        <rFont val="宋体"/>
        <charset val="134"/>
      </rPr>
      <t>甲基苄基）胺</t>
    </r>
  </si>
  <si>
    <t>699-04-7</t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</si>
  <si>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氯</t>
    </r>
    <r>
      <rPr>
        <sz val="10"/>
        <color rgb="FF000000"/>
        <rFont val="Times New Roman"/>
        <charset val="134"/>
      </rPr>
      <t>-6-</t>
    </r>
    <r>
      <rPr>
        <sz val="10"/>
        <color rgb="FF000000"/>
        <rFont val="宋体"/>
        <charset val="134"/>
      </rPr>
      <t>硝基苯胺</t>
    </r>
  </si>
  <si>
    <t>769-11-9</t>
  </si>
  <si>
    <r>
      <rPr>
        <sz val="10"/>
        <color rgb="FF000000"/>
        <rFont val="Times New Roman"/>
        <charset val="134"/>
      </rPr>
      <t>N-</t>
    </r>
    <r>
      <rPr>
        <sz val="10"/>
        <color rgb="FF000000"/>
        <rFont val="宋体"/>
        <charset val="134"/>
      </rPr>
      <t>苯基乙二胺</t>
    </r>
  </si>
  <si>
    <t>1664-40-0</t>
  </si>
  <si>
    <r>
      <rPr>
        <sz val="10"/>
        <color rgb="FF000000"/>
        <rFont val="宋体"/>
        <charset val="134"/>
      </rPr>
      <t>（</t>
    </r>
    <r>
      <rPr>
        <sz val="10"/>
        <color rgb="FF000000"/>
        <rFont val="Times New Roman"/>
        <charset val="134"/>
      </rPr>
      <t>R</t>
    </r>
    <r>
      <rPr>
        <sz val="10"/>
        <color rgb="FF000000"/>
        <rFont val="宋体"/>
        <charset val="134"/>
      </rPr>
      <t>）</t>
    </r>
    <r>
      <rPr>
        <sz val="10"/>
        <color rgb="FF000000"/>
        <rFont val="Times New Roman"/>
        <charset val="134"/>
      </rPr>
      <t>-</t>
    </r>
    <r>
      <rPr>
        <sz val="10"/>
        <color rgb="FF000000"/>
        <rFont val="宋体"/>
        <charset val="134"/>
      </rPr>
      <t>（＋）</t>
    </r>
    <r>
      <rPr>
        <sz val="10"/>
        <color rgb="FF000000"/>
        <rFont val="Times New Roman"/>
        <charset val="134"/>
      </rPr>
      <t>-N-</t>
    </r>
    <r>
      <rPr>
        <sz val="10"/>
        <color rgb="FF000000"/>
        <rFont val="宋体"/>
        <charset val="134"/>
      </rPr>
      <t>苄基</t>
    </r>
    <r>
      <rPr>
        <sz val="10"/>
        <color rgb="FF000000"/>
        <rFont val="Times New Roman"/>
        <charset val="134"/>
      </rPr>
      <t>-1-</t>
    </r>
    <r>
      <rPr>
        <sz val="10"/>
        <color rgb="FF000000"/>
        <rFont val="宋体"/>
        <charset val="134"/>
      </rPr>
      <t>苯乙胺</t>
    </r>
  </si>
  <si>
    <t>38235-77-7</t>
  </si>
  <si>
    <r>
      <rPr>
        <sz val="10"/>
        <color theme="1"/>
        <rFont val="宋体"/>
        <charset val="134"/>
      </rPr>
      <t>胺类</t>
    </r>
  </si>
  <si>
    <r>
      <rPr>
        <sz val="10"/>
        <color rgb="FF000000"/>
        <rFont val="宋体"/>
        <charset val="134"/>
      </rPr>
      <t>乙二胺四乙酸二钠镁水合物</t>
    </r>
  </si>
  <si>
    <t>14402-88-1</t>
  </si>
  <si>
    <r>
      <rPr>
        <sz val="9.75"/>
        <color rgb="FF000000"/>
        <rFont val="宋体"/>
        <charset val="134"/>
      </rPr>
      <t>氟铝酸铵</t>
    </r>
  </si>
  <si>
    <t>7784-19-2</t>
  </si>
  <si>
    <r>
      <rPr>
        <sz val="10"/>
        <color rgb="FF000000"/>
        <rFont val="宋体"/>
        <charset val="134"/>
      </rPr>
      <t>邻氨基乙酰苯胺</t>
    </r>
  </si>
  <si>
    <t>34801-09-7</t>
  </si>
  <si>
    <r>
      <rPr>
        <sz val="10"/>
        <color rgb="FF000000"/>
        <rFont val="Times New Roman"/>
        <charset val="134"/>
      </rPr>
      <t>3-</t>
    </r>
    <r>
      <rPr>
        <sz val="10"/>
        <color rgb="FF000000"/>
        <rFont val="宋体"/>
        <charset val="134"/>
      </rPr>
      <t>氯</t>
    </r>
    <r>
      <rPr>
        <sz val="10"/>
        <color rgb="FF000000"/>
        <rFont val="Times New Roman"/>
        <charset val="134"/>
      </rPr>
      <t>-2-</t>
    </r>
    <r>
      <rPr>
        <sz val="10"/>
        <color rgb="FF000000"/>
        <rFont val="宋体"/>
        <charset val="134"/>
      </rPr>
      <t>硝基苯胺</t>
    </r>
  </si>
  <si>
    <t>59483-54-4</t>
  </si>
  <si>
    <r>
      <rPr>
        <sz val="10"/>
        <color rgb="FF000000"/>
        <rFont val="宋体"/>
        <charset val="134"/>
      </rPr>
      <t>（</t>
    </r>
    <r>
      <rPr>
        <sz val="10"/>
        <color rgb="FF000000"/>
        <rFont val="Times New Roman"/>
        <charset val="134"/>
      </rPr>
      <t>E</t>
    </r>
    <r>
      <rPr>
        <sz val="10"/>
        <color rgb="FF000000"/>
        <rFont val="宋体"/>
        <charset val="134"/>
      </rPr>
      <t>）</t>
    </r>
    <r>
      <rPr>
        <sz val="10"/>
        <color rgb="FF000000"/>
        <rFont val="Times New Roman"/>
        <charset val="134"/>
      </rPr>
      <t>-N-</t>
    </r>
    <r>
      <rPr>
        <sz val="10"/>
        <color rgb="FF000000"/>
        <rFont val="宋体"/>
        <charset val="134"/>
      </rPr>
      <t>（</t>
    </r>
    <r>
      <rPr>
        <sz val="10"/>
        <color rgb="FF000000"/>
        <rFont val="Times New Roman"/>
        <charset val="134"/>
      </rPr>
      <t>16-</t>
    </r>
    <r>
      <rPr>
        <sz val="10"/>
        <color rgb="FF000000"/>
        <rFont val="宋体"/>
        <charset val="134"/>
      </rPr>
      <t>氯吡啶</t>
    </r>
    <r>
      <rPr>
        <sz val="10"/>
        <color rgb="FF000000"/>
        <rFont val="Times New Roman"/>
        <charset val="134"/>
      </rPr>
      <t>-3-</t>
    </r>
    <r>
      <rPr>
        <sz val="10"/>
        <color rgb="FF000000"/>
        <rFont val="宋体"/>
        <charset val="134"/>
      </rPr>
      <t>基）甲基）</t>
    </r>
    <r>
      <rPr>
        <sz val="10"/>
        <color rgb="FF000000"/>
        <rFont val="Times New Roman"/>
        <charset val="134"/>
      </rPr>
      <t>-N-</t>
    </r>
    <r>
      <rPr>
        <sz val="10"/>
        <color rgb="FF000000"/>
        <rFont val="宋体"/>
        <charset val="134"/>
      </rPr>
      <t>乙基</t>
    </r>
    <r>
      <rPr>
        <sz val="10"/>
        <color rgb="FF000000"/>
        <rFont val="Times New Roman"/>
        <charset val="134"/>
      </rPr>
      <t>-N'-</t>
    </r>
    <r>
      <rPr>
        <sz val="10"/>
        <color rgb="FF000000"/>
        <rFont val="宋体"/>
        <charset val="134"/>
      </rPr>
      <t>甲基</t>
    </r>
    <r>
      <rPr>
        <sz val="10"/>
        <color rgb="FF000000"/>
        <rFont val="Times New Roman"/>
        <charset val="134"/>
      </rPr>
      <t>-2-</t>
    </r>
    <r>
      <rPr>
        <sz val="10"/>
        <color rgb="FF000000"/>
        <rFont val="宋体"/>
        <charset val="134"/>
      </rPr>
      <t>硝基乙烯</t>
    </r>
    <r>
      <rPr>
        <sz val="10"/>
        <color rgb="FF000000"/>
        <rFont val="Times New Roman"/>
        <charset val="134"/>
      </rPr>
      <t>-1</t>
    </r>
    <r>
      <rPr>
        <sz val="10"/>
        <color rgb="FF000000"/>
        <rFont val="宋体"/>
        <charset val="134"/>
      </rPr>
      <t>，</t>
    </r>
    <r>
      <rPr>
        <sz val="10"/>
        <color rgb="FF000000"/>
        <rFont val="Times New Roman"/>
        <charset val="134"/>
      </rPr>
      <t>1-</t>
    </r>
    <r>
      <rPr>
        <sz val="10"/>
        <color rgb="FF000000"/>
        <rFont val="宋体"/>
        <charset val="134"/>
      </rPr>
      <t>二胺</t>
    </r>
  </si>
  <si>
    <t>150824-47-8</t>
  </si>
  <si>
    <t>4-(氨基甲基)-N,N二甲基苯胺</t>
  </si>
  <si>
    <t>19293-58-4</t>
  </si>
  <si>
    <t>否</t>
  </si>
  <si>
    <t>胺类</t>
  </si>
  <si>
    <t>216冰箱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</si>
  <si>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0"/>
      </rPr>
      <t>-1-</t>
    </r>
    <r>
      <rPr>
        <sz val="10"/>
        <color rgb="FF000000"/>
        <rFont val="宋体"/>
        <charset val="134"/>
      </rPr>
      <t>甲基哌啶</t>
    </r>
  </si>
  <si>
    <t>41838-46-4</t>
  </si>
  <si>
    <r>
      <rPr>
        <sz val="10"/>
        <color rgb="FF000000"/>
        <rFont val="Times New Roman"/>
        <charset val="0"/>
      </rPr>
      <t>216</t>
    </r>
    <r>
      <rPr>
        <sz val="10"/>
        <color rgb="FF000000"/>
        <rFont val="宋体"/>
        <charset val="134"/>
      </rPr>
      <t>冰箱</t>
    </r>
    <r>
      <rPr>
        <sz val="10"/>
        <color rgb="FF000000"/>
        <rFont val="Times New Roman"/>
        <charset val="0"/>
      </rPr>
      <t>3</t>
    </r>
    <r>
      <rPr>
        <sz val="10"/>
        <color rgb="FF000000"/>
        <rFont val="宋体"/>
        <charset val="134"/>
      </rPr>
      <t>层</t>
    </r>
  </si>
  <si>
    <r>
      <rPr>
        <sz val="10"/>
        <color rgb="FF000000"/>
        <rFont val="Times New Roman"/>
        <charset val="0"/>
      </rPr>
      <t>1,5-</t>
    </r>
    <r>
      <rPr>
        <sz val="10"/>
        <color rgb="FF000000"/>
        <rFont val="宋体"/>
        <charset val="134"/>
      </rPr>
      <t>二氨基</t>
    </r>
    <r>
      <rPr>
        <sz val="10"/>
        <color rgb="FF000000"/>
        <rFont val="Times New Roman"/>
        <charset val="0"/>
      </rPr>
      <t>-2-</t>
    </r>
    <r>
      <rPr>
        <sz val="10"/>
        <color rgb="FF000000"/>
        <rFont val="宋体"/>
        <charset val="134"/>
      </rPr>
      <t>甲基戊烷</t>
    </r>
  </si>
  <si>
    <t>15520-10-2</t>
  </si>
  <si>
    <r>
      <rPr>
        <sz val="10"/>
        <color rgb="FF000000"/>
        <rFont val="Times New Roman"/>
        <charset val="0"/>
      </rPr>
      <t>216</t>
    </r>
    <r>
      <rPr>
        <sz val="10"/>
        <color rgb="FF000000"/>
        <rFont val="宋体"/>
        <charset val="134"/>
      </rPr>
      <t>冰箱二层</t>
    </r>
  </si>
  <si>
    <r>
      <rPr>
        <sz val="10"/>
        <color rgb="FF000000"/>
        <rFont val="Times New Roman"/>
        <charset val="0"/>
      </rPr>
      <t>2,4-</t>
    </r>
    <r>
      <rPr>
        <sz val="10"/>
        <color rgb="FF000000"/>
        <rFont val="宋体"/>
        <charset val="134"/>
      </rPr>
      <t>二氯</t>
    </r>
    <r>
      <rPr>
        <sz val="10"/>
        <color rgb="FF000000"/>
        <rFont val="Times New Roman"/>
        <charset val="0"/>
      </rPr>
      <t>-6-</t>
    </r>
    <r>
      <rPr>
        <sz val="10"/>
        <color rgb="FF000000"/>
        <rFont val="宋体"/>
        <charset val="134"/>
      </rPr>
      <t>碘苯胺</t>
    </r>
  </si>
  <si>
    <t>697-90-5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</si>
  <si>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碘</t>
    </r>
    <r>
      <rPr>
        <sz val="10"/>
        <color rgb="FF000000"/>
        <rFont val="Times New Roman"/>
        <charset val="0"/>
      </rPr>
      <t>-1,4-</t>
    </r>
    <r>
      <rPr>
        <sz val="10"/>
        <color rgb="FF000000"/>
        <rFont val="宋体"/>
        <charset val="134"/>
      </rPr>
      <t>苯二胺</t>
    </r>
  </si>
  <si>
    <t>69951-01-5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</si>
  <si>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氯</t>
    </r>
    <r>
      <rPr>
        <sz val="10"/>
        <color rgb="FF000000"/>
        <rFont val="Times New Roman"/>
        <charset val="0"/>
      </rPr>
      <t>-2-</t>
    </r>
    <r>
      <rPr>
        <sz val="10"/>
        <color rgb="FF000000"/>
        <rFont val="宋体"/>
        <charset val="134"/>
      </rPr>
      <t>氟</t>
    </r>
    <r>
      <rPr>
        <sz val="10"/>
        <color rgb="FF000000"/>
        <rFont val="Times New Roman"/>
        <charset val="0"/>
      </rPr>
      <t>-6-</t>
    </r>
    <r>
      <rPr>
        <sz val="10"/>
        <color rgb="FF000000"/>
        <rFont val="宋体"/>
        <charset val="134"/>
      </rPr>
      <t>碘苯胺</t>
    </r>
  </si>
  <si>
    <t>216393-67-8</t>
  </si>
  <si>
    <t>环丙胺</t>
  </si>
  <si>
    <t>765-30-0</t>
  </si>
  <si>
    <r>
      <rPr>
        <sz val="10"/>
        <color rgb="FF000000"/>
        <rFont val="宋体"/>
        <charset val="0"/>
      </rPr>
      <t>（</t>
    </r>
    <r>
      <rPr>
        <sz val="10"/>
        <color rgb="FF000000"/>
        <rFont val="Times New Roman"/>
        <charset val="0"/>
      </rPr>
      <t>1R</t>
    </r>
    <r>
      <rPr>
        <sz val="10"/>
        <color rgb="FF000000"/>
        <rFont val="宋体"/>
        <charset val="134"/>
      </rPr>
      <t>，</t>
    </r>
    <r>
      <rPr>
        <sz val="10"/>
        <color rgb="FF000000"/>
        <rFont val="Times New Roman"/>
        <charset val="0"/>
      </rPr>
      <t>2R</t>
    </r>
    <r>
      <rPr>
        <sz val="10"/>
        <color rgb="FF000000"/>
        <rFont val="宋体"/>
        <charset val="134"/>
      </rPr>
      <t>）</t>
    </r>
    <r>
      <rPr>
        <sz val="10"/>
        <color rgb="FF000000"/>
        <rFont val="Times New Roman"/>
        <charset val="0"/>
      </rPr>
      <t>-1,2-</t>
    </r>
    <r>
      <rPr>
        <sz val="10"/>
        <color rgb="FF000000"/>
        <rFont val="宋体"/>
        <charset val="134"/>
      </rPr>
      <t>二苯基乙二胺</t>
    </r>
  </si>
  <si>
    <t>35132-20-8</t>
  </si>
  <si>
    <t>苯乙胺</t>
  </si>
  <si>
    <t>64-04-0</t>
  </si>
  <si>
    <t>苄胺</t>
  </si>
  <si>
    <r>
      <rPr>
        <sz val="10"/>
        <color rgb="FF000000"/>
        <rFont val="Times New Roman"/>
        <charset val="0"/>
      </rPr>
      <t>2,4-</t>
    </r>
    <r>
      <rPr>
        <sz val="10"/>
        <color rgb="FF000000"/>
        <rFont val="宋体"/>
        <charset val="134"/>
      </rPr>
      <t>二溴苯胺</t>
    </r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</si>
  <si>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碘苯胺</t>
    </r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</si>
  <si>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氟苯胺</t>
    </r>
  </si>
  <si>
    <t>348-54-9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</si>
  <si>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碘</t>
    </r>
    <r>
      <rPr>
        <sz val="10"/>
        <color rgb="FF000000"/>
        <rFont val="Times New Roman"/>
        <charset val="0"/>
      </rPr>
      <t>-4-</t>
    </r>
    <r>
      <rPr>
        <sz val="10"/>
        <color rgb="FF000000"/>
        <rFont val="宋体"/>
        <charset val="134"/>
      </rPr>
      <t>氯苯胺</t>
    </r>
  </si>
  <si>
    <t>邻氯苯胺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</si>
  <si>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碘</t>
    </r>
    <r>
      <rPr>
        <sz val="10"/>
        <color rgb="FF000000"/>
        <rFont val="Times New Roman"/>
        <charset val="0"/>
      </rPr>
      <t>-4-</t>
    </r>
    <r>
      <rPr>
        <sz val="10"/>
        <color rgb="FF000000"/>
        <rFont val="宋体"/>
        <charset val="134"/>
      </rPr>
      <t>氟苯胺</t>
    </r>
  </si>
  <si>
    <t>61272-76-2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</si>
  <si>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溴</t>
    </r>
    <r>
      <rPr>
        <sz val="10"/>
        <color rgb="FF000000"/>
        <rFont val="Times New Roman"/>
        <charset val="0"/>
      </rPr>
      <t>-2-</t>
    </r>
    <r>
      <rPr>
        <sz val="10"/>
        <color rgb="FF000000"/>
        <rFont val="宋体"/>
        <charset val="134"/>
      </rPr>
      <t>碘苯甲胺</t>
    </r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</si>
  <si>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溴苯胺</t>
    </r>
  </si>
  <si>
    <t>615-36-1</t>
  </si>
  <si>
    <r>
      <rPr>
        <sz val="10"/>
        <color rgb="FF000000"/>
        <rFont val="Times New Roman"/>
        <charset val="0"/>
      </rPr>
      <t>216</t>
    </r>
    <r>
      <rPr>
        <sz val="10"/>
        <color rgb="FF000000"/>
        <rFont val="宋体"/>
        <charset val="134"/>
      </rPr>
      <t>冰箱三层</t>
    </r>
  </si>
  <si>
    <t>二水氧化三甲胺</t>
  </si>
  <si>
    <t>62637-93-8</t>
  </si>
  <si>
    <r>
      <rPr>
        <sz val="10"/>
        <color rgb="FF000000"/>
        <rFont val="Times New Roman"/>
        <charset val="0"/>
      </rPr>
      <t>216</t>
    </r>
    <r>
      <rPr>
        <sz val="10"/>
        <color rgb="FF000000"/>
        <rFont val="宋体"/>
        <charset val="0"/>
      </rPr>
      <t>冰箱一层</t>
    </r>
  </si>
  <si>
    <t>正丁胺</t>
  </si>
  <si>
    <t>己胺</t>
  </si>
  <si>
    <t>111-26-2</t>
  </si>
  <si>
    <t>氨基硫脲</t>
  </si>
  <si>
    <t>79-19-6</t>
  </si>
  <si>
    <r>
      <rPr>
        <sz val="10"/>
        <color rgb="FF000000"/>
        <rFont val="Times New Roman"/>
        <charset val="0"/>
      </rPr>
      <t>4,4’-</t>
    </r>
    <r>
      <rPr>
        <sz val="10"/>
        <color rgb="FF000000"/>
        <rFont val="宋体"/>
        <charset val="134"/>
      </rPr>
      <t>二氨基二苯甲烷</t>
    </r>
  </si>
  <si>
    <t>101-77-9</t>
  </si>
  <si>
    <r>
      <rPr>
        <sz val="10"/>
        <color rgb="FF000000"/>
        <rFont val="Times New Roman"/>
        <charset val="0"/>
      </rPr>
      <t>216</t>
    </r>
    <r>
      <rPr>
        <sz val="10"/>
        <color rgb="FF000000"/>
        <rFont val="宋体"/>
        <charset val="134"/>
      </rPr>
      <t>冰箱一层</t>
    </r>
  </si>
  <si>
    <t>二甲基丙二胺</t>
  </si>
  <si>
    <t>7328-91-8</t>
  </si>
  <si>
    <r>
      <rPr>
        <sz val="10"/>
        <color rgb="FF000000"/>
        <rFont val="Times New Roman"/>
        <charset val="0"/>
      </rPr>
      <t>216</t>
    </r>
    <r>
      <rPr>
        <sz val="10"/>
        <color rgb="FF000000"/>
        <rFont val="宋体"/>
        <charset val="0"/>
      </rPr>
      <t>冰箱三层</t>
    </r>
  </si>
  <si>
    <r>
      <rPr>
        <sz val="10"/>
        <color rgb="FF000000"/>
        <rFont val="Times New Roman"/>
        <charset val="0"/>
      </rPr>
      <t>2,2,2-</t>
    </r>
    <r>
      <rPr>
        <sz val="10"/>
        <color rgb="FF000000"/>
        <rFont val="宋体"/>
        <charset val="134"/>
      </rPr>
      <t>三氟乙基胺</t>
    </r>
  </si>
  <si>
    <t>753-90-2</t>
  </si>
  <si>
    <r>
      <rPr>
        <sz val="10"/>
        <color rgb="FF000000"/>
        <rFont val="Times New Roman"/>
        <charset val="0"/>
      </rPr>
      <t>1-</t>
    </r>
    <r>
      <rPr>
        <sz val="10"/>
        <color rgb="FF000000"/>
        <rFont val="宋体"/>
        <charset val="134"/>
      </rPr>
      <t>萘胺</t>
    </r>
  </si>
  <si>
    <t>134-32-7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</si>
  <si>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溴苯胺</t>
    </r>
  </si>
  <si>
    <t>106-40-1</t>
  </si>
  <si>
    <r>
      <rPr>
        <sz val="10"/>
        <color rgb="FF000000"/>
        <rFont val="Times New Roman"/>
        <charset val="0"/>
      </rPr>
      <t>3,4-</t>
    </r>
    <r>
      <rPr>
        <sz val="10"/>
        <color rgb="FF000000"/>
        <rFont val="宋体"/>
        <charset val="134"/>
      </rPr>
      <t>二甲氧基苯胺</t>
    </r>
  </si>
  <si>
    <t>6315-89-5</t>
  </si>
  <si>
    <t>对三氟甲基苯胺</t>
  </si>
  <si>
    <t>455-14-1</t>
  </si>
  <si>
    <t>对苯二胺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</si>
  <si>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甲基</t>
    </r>
    <r>
      <rPr>
        <sz val="10"/>
        <color rgb="FF000000"/>
        <rFont val="Times New Roman"/>
        <charset val="0"/>
      </rPr>
      <t>-3-</t>
    </r>
    <r>
      <rPr>
        <sz val="10"/>
        <color rgb="FF000000"/>
        <rFont val="宋体"/>
        <charset val="134"/>
      </rPr>
      <t>硝基苯胺</t>
    </r>
  </si>
  <si>
    <t>119-32-4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</si>
  <si>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溴邻苯二胺</t>
    </r>
  </si>
  <si>
    <t>1575-37-7</t>
  </si>
  <si>
    <r>
      <rPr>
        <sz val="10"/>
        <color rgb="FF000000"/>
        <rFont val="Times New Roman"/>
        <charset val="0"/>
      </rPr>
      <t>4,5-</t>
    </r>
    <r>
      <rPr>
        <sz val="10"/>
        <color rgb="FF000000"/>
        <rFont val="宋体"/>
        <charset val="134"/>
      </rPr>
      <t>二甲基</t>
    </r>
    <r>
      <rPr>
        <sz val="10"/>
        <color rgb="FF000000"/>
        <rFont val="Times New Roman"/>
        <charset val="0"/>
      </rPr>
      <t>-1,2-</t>
    </r>
    <r>
      <rPr>
        <sz val="10"/>
        <color rgb="FF000000"/>
        <rFont val="宋体"/>
        <charset val="134"/>
      </rPr>
      <t>邻苯二胺</t>
    </r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</si>
  <si>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甲氧基邻苯二胺</t>
    </r>
  </si>
  <si>
    <t>102-51-2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</si>
  <si>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氟</t>
    </r>
    <r>
      <rPr>
        <sz val="10"/>
        <color rgb="FF000000"/>
        <rFont val="Times New Roman"/>
        <charset val="0"/>
      </rPr>
      <t>-1,2-</t>
    </r>
    <r>
      <rPr>
        <sz val="10"/>
        <color rgb="FF000000"/>
        <rFont val="宋体"/>
        <charset val="134"/>
      </rPr>
      <t>苯二胺</t>
    </r>
  </si>
  <si>
    <t>367-31-7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</si>
  <si>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氯</t>
    </r>
    <r>
      <rPr>
        <sz val="10"/>
        <color rgb="FF000000"/>
        <rFont val="Times New Roman"/>
        <charset val="0"/>
      </rPr>
      <t>-1,2-</t>
    </r>
    <r>
      <rPr>
        <sz val="10"/>
        <color rgb="FF000000"/>
        <rFont val="宋体"/>
        <charset val="134"/>
      </rPr>
      <t>苯二胺</t>
    </r>
  </si>
  <si>
    <t>95-83-0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</si>
  <si>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三氟甲基</t>
    </r>
    <r>
      <rPr>
        <sz val="10"/>
        <color rgb="FF000000"/>
        <rFont val="Times New Roman"/>
        <charset val="0"/>
      </rPr>
      <t>-1,2-</t>
    </r>
    <r>
      <rPr>
        <sz val="10"/>
        <color rgb="FF000000"/>
        <rFont val="宋体"/>
        <charset val="134"/>
      </rPr>
      <t>苯二胺</t>
    </r>
  </si>
  <si>
    <t>368-71-8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</si>
  <si>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硝基邻苯二胺</t>
    </r>
  </si>
  <si>
    <t>99-56-9</t>
  </si>
  <si>
    <t>20g</t>
  </si>
  <si>
    <t>羟乙基乙二胺</t>
  </si>
  <si>
    <t>111-41-1</t>
  </si>
  <si>
    <t>二乙醇三胺</t>
  </si>
  <si>
    <t>111-40-0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</si>
  <si>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碘</t>
    </r>
    <r>
      <rPr>
        <sz val="10"/>
        <color rgb="FF000000"/>
        <rFont val="Times New Roman"/>
        <charset val="0"/>
      </rPr>
      <t>-4-</t>
    </r>
    <r>
      <rPr>
        <sz val="10"/>
        <color rgb="FF000000"/>
        <rFont val="宋体"/>
        <charset val="134"/>
      </rPr>
      <t>甲基苯胺</t>
    </r>
  </si>
  <si>
    <t>29289-13-2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</si>
  <si>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碘</t>
    </r>
    <r>
      <rPr>
        <sz val="10"/>
        <color rgb="FF000000"/>
        <rFont val="Times New Roman"/>
        <charset val="0"/>
      </rPr>
      <t>-4-</t>
    </r>
    <r>
      <rPr>
        <sz val="10"/>
        <color rgb="FF000000"/>
        <rFont val="宋体"/>
        <charset val="134"/>
      </rPr>
      <t>甲氧基苯胺</t>
    </r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</si>
  <si>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碘</t>
    </r>
    <r>
      <rPr>
        <sz val="10"/>
        <color rgb="FF000000"/>
        <rFont val="Times New Roman"/>
        <charset val="0"/>
      </rPr>
      <t>-4-</t>
    </r>
    <r>
      <rPr>
        <sz val="10"/>
        <color rgb="FF000000"/>
        <rFont val="宋体"/>
        <charset val="134"/>
      </rPr>
      <t>硝基苯胺</t>
    </r>
  </si>
  <si>
    <t>6293-83-0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</si>
  <si>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碘</t>
    </r>
    <r>
      <rPr>
        <sz val="10"/>
        <color rgb="FF000000"/>
        <rFont val="Times New Roman"/>
        <charset val="0"/>
      </rPr>
      <t>-5-</t>
    </r>
    <r>
      <rPr>
        <sz val="10"/>
        <color rgb="FF000000"/>
        <rFont val="宋体"/>
        <charset val="134"/>
      </rPr>
      <t>甲基苯胺</t>
    </r>
  </si>
  <si>
    <t>13194-69-9</t>
  </si>
  <si>
    <r>
      <rPr>
        <sz val="10"/>
        <color rgb="FF000000"/>
        <rFont val="Times New Roman"/>
        <charset val="0"/>
      </rPr>
      <t>3-</t>
    </r>
    <r>
      <rPr>
        <sz val="10"/>
        <color rgb="FF000000"/>
        <rFont val="宋体"/>
        <charset val="134"/>
      </rPr>
      <t>氯</t>
    </r>
    <r>
      <rPr>
        <sz val="10"/>
        <color rgb="FF000000"/>
        <rFont val="Times New Roman"/>
        <charset val="0"/>
      </rPr>
      <t>-2-</t>
    </r>
    <r>
      <rPr>
        <sz val="10"/>
        <color rgb="FF000000"/>
        <rFont val="宋体"/>
        <charset val="134"/>
      </rPr>
      <t>碘苯胺</t>
    </r>
  </si>
  <si>
    <t>70237-25-1</t>
  </si>
  <si>
    <t>丙炔酰胺</t>
  </si>
  <si>
    <t>7341-96-0</t>
  </si>
  <si>
    <r>
      <rPr>
        <sz val="10"/>
        <color rgb="FF000000"/>
        <rFont val="Times New Roman"/>
        <charset val="0"/>
      </rPr>
      <t>N-</t>
    </r>
    <r>
      <rPr>
        <sz val="10"/>
        <color rgb="FF000000"/>
        <rFont val="宋体"/>
        <charset val="134"/>
      </rPr>
      <t>溴代丁二酰亚胺</t>
    </r>
  </si>
  <si>
    <t>128-08-5</t>
  </si>
  <si>
    <r>
      <rPr>
        <sz val="10"/>
        <color rgb="FF000000"/>
        <rFont val="Times New Roman"/>
        <charset val="0"/>
      </rPr>
      <t>1,8-</t>
    </r>
    <r>
      <rPr>
        <sz val="10"/>
        <color rgb="FF000000"/>
        <rFont val="宋体"/>
        <charset val="134"/>
      </rPr>
      <t>二氨基萘</t>
    </r>
  </si>
  <si>
    <t>479-27-6</t>
  </si>
  <si>
    <r>
      <rPr>
        <sz val="10"/>
        <color rgb="FF000000"/>
        <rFont val="Times New Roman"/>
        <charset val="0"/>
      </rPr>
      <t>N-</t>
    </r>
    <r>
      <rPr>
        <sz val="10"/>
        <color rgb="FF000000"/>
        <rFont val="宋体"/>
        <charset val="134"/>
      </rPr>
      <t>苯基硫脲</t>
    </r>
  </si>
  <si>
    <t>103-85-5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</si>
  <si>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溴</t>
    </r>
    <r>
      <rPr>
        <sz val="10"/>
        <color rgb="FF000000"/>
        <rFont val="Times New Roman"/>
        <charset val="0"/>
      </rPr>
      <t>-4-</t>
    </r>
    <r>
      <rPr>
        <sz val="10"/>
        <color rgb="FF000000"/>
        <rFont val="宋体"/>
        <charset val="134"/>
      </rPr>
      <t>氟苯胺</t>
    </r>
  </si>
  <si>
    <t>1003-98-1</t>
  </si>
  <si>
    <r>
      <rPr>
        <sz val="10"/>
        <color rgb="FF000000"/>
        <rFont val="Times New Roman"/>
        <charset val="0"/>
      </rPr>
      <t>216</t>
    </r>
    <r>
      <rPr>
        <sz val="10"/>
        <color rgb="FF000000"/>
        <rFont val="宋体"/>
        <charset val="134"/>
      </rPr>
      <t>冰箱最底层</t>
    </r>
  </si>
  <si>
    <t>邻溴苯胺</t>
  </si>
  <si>
    <t>邻氟苯胺</t>
  </si>
  <si>
    <r>
      <rPr>
        <sz val="10"/>
        <color rgb="FF000000"/>
        <rFont val="Times New Roman"/>
        <charset val="0"/>
      </rPr>
      <t>2,6-</t>
    </r>
    <r>
      <rPr>
        <sz val="10"/>
        <color rgb="FF000000"/>
        <rFont val="宋体"/>
        <charset val="134"/>
      </rPr>
      <t>二溴苯胺</t>
    </r>
  </si>
  <si>
    <t>608-30-0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</si>
  <si>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溴</t>
    </r>
    <r>
      <rPr>
        <sz val="10"/>
        <color rgb="FF000000"/>
        <rFont val="Times New Roman"/>
        <charset val="0"/>
      </rPr>
      <t>-5-</t>
    </r>
    <r>
      <rPr>
        <sz val="10"/>
        <color rgb="FF000000"/>
        <rFont val="宋体"/>
        <charset val="134"/>
      </rPr>
      <t>（三氟基）苯胺</t>
    </r>
  </si>
  <si>
    <t>454-79-5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</si>
  <si>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溴</t>
    </r>
    <r>
      <rPr>
        <sz val="10"/>
        <color rgb="FF000000"/>
        <rFont val="Times New Roman"/>
        <charset val="0"/>
      </rPr>
      <t>-4-</t>
    </r>
    <r>
      <rPr>
        <sz val="10"/>
        <color rgb="FF000000"/>
        <rFont val="宋体"/>
        <charset val="134"/>
      </rPr>
      <t>氯苯胺</t>
    </r>
  </si>
  <si>
    <t>873-38-1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</si>
  <si>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溴</t>
    </r>
    <r>
      <rPr>
        <sz val="10"/>
        <color rgb="FF000000"/>
        <rFont val="Times New Roman"/>
        <charset val="0"/>
      </rPr>
      <t>-1,2-</t>
    </r>
    <r>
      <rPr>
        <sz val="10"/>
        <color rgb="FF000000"/>
        <rFont val="宋体"/>
        <charset val="134"/>
      </rPr>
      <t>苯二胺</t>
    </r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</si>
  <si>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氯邻苯二胺</t>
    </r>
  </si>
  <si>
    <r>
      <rPr>
        <sz val="10"/>
        <color rgb="FF000000"/>
        <rFont val="Times New Roman"/>
        <charset val="0"/>
      </rPr>
      <t>N-</t>
    </r>
    <r>
      <rPr>
        <sz val="10"/>
        <color rgb="FF000000"/>
        <rFont val="宋体"/>
        <charset val="134"/>
      </rPr>
      <t>甲基</t>
    </r>
    <r>
      <rPr>
        <sz val="10"/>
        <color rgb="FF000000"/>
        <rFont val="Times New Roman"/>
        <charset val="0"/>
      </rPr>
      <t>-1,2-</t>
    </r>
    <r>
      <rPr>
        <sz val="10"/>
        <color rgb="FF000000"/>
        <rFont val="宋体"/>
        <charset val="134"/>
      </rPr>
      <t>苯二胺</t>
    </r>
  </si>
  <si>
    <r>
      <rPr>
        <sz val="10"/>
        <color theme="1"/>
        <rFont val="宋体"/>
        <charset val="134"/>
      </rPr>
      <t>二甲苯</t>
    </r>
  </si>
  <si>
    <t>1330-20-7</t>
  </si>
  <si>
    <r>
      <rPr>
        <sz val="10"/>
        <color rgb="FF000000"/>
        <rFont val="宋体"/>
        <charset val="134"/>
      </rPr>
      <t>苯及同系物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</si>
  <si>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4</t>
    </r>
    <r>
      <rPr>
        <sz val="10"/>
        <color rgb="FF000000"/>
        <rFont val="宋体"/>
        <charset val="134"/>
      </rPr>
      <t>左</t>
    </r>
  </si>
  <si>
    <r>
      <rPr>
        <sz val="10"/>
        <color theme="1"/>
        <rFont val="宋体"/>
        <charset val="134"/>
      </rPr>
      <t>联苯</t>
    </r>
  </si>
  <si>
    <t>92-52-4</t>
  </si>
  <si>
    <t>&gt;99.5%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</si>
  <si>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叔丁基苯基炔</t>
    </r>
  </si>
  <si>
    <t>772-38-3</t>
  </si>
  <si>
    <t>苯及同系物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</si>
  <si>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甲基苯乙炔</t>
    </r>
  </si>
  <si>
    <t>766-97-2</t>
  </si>
  <si>
    <r>
      <rPr>
        <sz val="10"/>
        <color theme="1"/>
        <rFont val="宋体"/>
        <charset val="134"/>
      </rPr>
      <t>甲苯（含</t>
    </r>
    <r>
      <rPr>
        <sz val="10"/>
        <color theme="1"/>
        <rFont val="Times New Roman"/>
        <charset val="134"/>
      </rPr>
      <t>CO2</t>
    </r>
    <r>
      <rPr>
        <sz val="10"/>
        <color theme="1"/>
        <rFont val="宋体"/>
        <charset val="134"/>
      </rPr>
      <t>）</t>
    </r>
  </si>
  <si>
    <t>108-88-3</t>
  </si>
  <si>
    <r>
      <rPr>
        <sz val="10"/>
        <color rgb="FF000000"/>
        <rFont val="宋体"/>
        <charset val="134"/>
      </rPr>
      <t>苯及同系物类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</si>
  <si>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</t>
    </r>
    <r>
      <rPr>
        <sz val="10"/>
        <color rgb="FF000000"/>
        <rFont val="Times New Roman"/>
        <charset val="134"/>
      </rPr>
      <t>4</t>
    </r>
    <r>
      <rPr>
        <sz val="10"/>
        <color rgb="FF000000"/>
        <rFont val="宋体"/>
        <charset val="134"/>
      </rPr>
      <t>层左</t>
    </r>
  </si>
  <si>
    <r>
      <rPr>
        <sz val="10"/>
        <color theme="1"/>
        <rFont val="宋体"/>
        <charset val="134"/>
      </rPr>
      <t>溴化苄</t>
    </r>
  </si>
  <si>
    <t>100-39-0</t>
  </si>
  <si>
    <r>
      <rPr>
        <sz val="10"/>
        <color rgb="FF000000"/>
        <rFont val="宋体"/>
        <charset val="134"/>
      </rPr>
      <t>二甲苯</t>
    </r>
  </si>
  <si>
    <r>
      <rPr>
        <sz val="10"/>
        <color indexed="8"/>
        <rFont val="宋体"/>
        <charset val="134"/>
      </rPr>
      <t>苯及同系物类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</si>
  <si>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1</t>
    </r>
    <r>
      <rPr>
        <sz val="10"/>
        <color rgb="FF000000"/>
        <rFont val="宋体"/>
        <charset val="134"/>
      </rPr>
      <t>层</t>
    </r>
  </si>
  <si>
    <r>
      <rPr>
        <sz val="10"/>
        <color theme="1"/>
        <rFont val="宋体"/>
        <charset val="134"/>
      </rPr>
      <t>苯</t>
    </r>
  </si>
  <si>
    <t>71-43-2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</si>
  <si>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木柜上四层中</t>
    </r>
  </si>
  <si>
    <r>
      <rPr>
        <sz val="10"/>
        <color theme="1"/>
        <rFont val="宋体"/>
        <charset val="134"/>
      </rPr>
      <t>溴甲基苯</t>
    </r>
  </si>
  <si>
    <t>100-89-0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</si>
  <si>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右</t>
    </r>
  </si>
  <si>
    <t>蒽</t>
  </si>
  <si>
    <t>120-12-7</t>
  </si>
  <si>
    <t>苯及同系物类</t>
  </si>
  <si>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丁炔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醇</t>
    </r>
  </si>
  <si>
    <t>2028-63-9</t>
  </si>
  <si>
    <r>
      <rPr>
        <sz val="10"/>
        <color rgb="FF000000"/>
        <rFont val="宋体"/>
        <charset val="134"/>
      </rPr>
      <t>醇类</t>
    </r>
  </si>
  <si>
    <r>
      <rPr>
        <sz val="10"/>
        <color theme="1"/>
        <rFont val="宋体"/>
        <charset val="134"/>
      </rPr>
      <t>叔十二硫醇</t>
    </r>
  </si>
  <si>
    <t>25103-58-6</t>
  </si>
  <si>
    <r>
      <rPr>
        <sz val="10"/>
        <color theme="1"/>
        <rFont val="宋体"/>
        <charset val="134"/>
      </rPr>
      <t>乙二醇</t>
    </r>
  </si>
  <si>
    <t>22-2121-82</t>
  </si>
  <si>
    <r>
      <rPr>
        <sz val="10"/>
        <color theme="1"/>
        <rFont val="宋体"/>
        <charset val="134"/>
      </rPr>
      <t>聚乙二醇</t>
    </r>
    <r>
      <rPr>
        <sz val="10"/>
        <color theme="1"/>
        <rFont val="Times New Roman"/>
        <charset val="134"/>
      </rPr>
      <t>400</t>
    </r>
  </si>
  <si>
    <t>25322-68-3</t>
  </si>
  <si>
    <r>
      <rPr>
        <sz val="10"/>
        <color rgb="FF000000"/>
        <rFont val="宋体"/>
        <charset val="134"/>
      </rPr>
      <t>聚乙二醇</t>
    </r>
    <r>
      <rPr>
        <sz val="10"/>
        <color rgb="FF000000"/>
        <rFont val="Times New Roman"/>
        <charset val="134"/>
      </rPr>
      <t>(PEG)</t>
    </r>
  </si>
  <si>
    <r>
      <rPr>
        <sz val="10"/>
        <color theme="1"/>
        <rFont val="宋体"/>
        <charset val="134"/>
      </rPr>
      <t>聚乙二醇</t>
    </r>
    <r>
      <rPr>
        <sz val="10"/>
        <color theme="1"/>
        <rFont val="Times New Roman"/>
        <charset val="134"/>
      </rPr>
      <t>200</t>
    </r>
  </si>
  <si>
    <t>107-21-1</t>
  </si>
  <si>
    <r>
      <rPr>
        <sz val="10"/>
        <color theme="1"/>
        <rFont val="宋体"/>
        <charset val="134"/>
      </rPr>
      <t>乙二醇二甲醚</t>
    </r>
  </si>
  <si>
    <t>110-71-4</t>
  </si>
  <si>
    <r>
      <rPr>
        <sz val="10"/>
        <color theme="1"/>
        <rFont val="宋体"/>
        <charset val="134"/>
      </rPr>
      <t>丙三醇</t>
    </r>
  </si>
  <si>
    <t>56-81-5</t>
  </si>
  <si>
    <r>
      <rPr>
        <sz val="10"/>
        <color theme="1"/>
        <rFont val="宋体"/>
        <charset val="134"/>
      </rPr>
      <t>甘油</t>
    </r>
  </si>
  <si>
    <r>
      <rPr>
        <sz val="10"/>
        <color theme="1"/>
        <rFont val="宋体"/>
        <charset val="134"/>
      </rPr>
      <t>＞</t>
    </r>
    <r>
      <rPr>
        <sz val="10"/>
        <color theme="1"/>
        <rFont val="Times New Roman"/>
        <charset val="134"/>
      </rPr>
      <t>98</t>
    </r>
    <r>
      <rPr>
        <sz val="10"/>
        <color theme="1"/>
        <rFont val="宋体"/>
        <charset val="134"/>
      </rPr>
      <t>％</t>
    </r>
  </si>
  <si>
    <r>
      <rPr>
        <sz val="10"/>
        <color rgb="FF000000"/>
        <rFont val="宋体"/>
        <charset val="134"/>
      </rPr>
      <t>甲醇</t>
    </r>
  </si>
  <si>
    <t>67-56-1</t>
  </si>
  <si>
    <t>CH3OH</t>
  </si>
  <si>
    <r>
      <rPr>
        <sz val="10"/>
        <color rgb="FF000000"/>
        <rFont val="宋体"/>
        <charset val="134"/>
      </rPr>
      <t>丙三醇</t>
    </r>
  </si>
  <si>
    <r>
      <rPr>
        <sz val="10"/>
        <color rgb="FF000000"/>
        <rFont val="Times New Roman"/>
        <charset val="134"/>
      </rPr>
      <t>2,2,2-</t>
    </r>
    <r>
      <rPr>
        <sz val="10"/>
        <color rgb="FF000000"/>
        <rFont val="宋体"/>
        <charset val="134"/>
      </rPr>
      <t>三氟乙醇</t>
    </r>
  </si>
  <si>
    <t>75-89-8</t>
  </si>
  <si>
    <r>
      <rPr>
        <sz val="10"/>
        <color theme="1"/>
        <rFont val="宋体"/>
        <charset val="134"/>
      </rPr>
      <t>聚乙烯醇</t>
    </r>
  </si>
  <si>
    <t>9002-89-5</t>
  </si>
  <si>
    <r>
      <rPr>
        <sz val="10"/>
        <color indexed="8"/>
        <rFont val="Times New Roman"/>
        <charset val="134"/>
      </rPr>
      <t>215</t>
    </r>
    <r>
      <rPr>
        <sz val="10"/>
        <color indexed="8"/>
        <rFont val="宋体"/>
        <charset val="134"/>
      </rPr>
      <t>木柜上</t>
    </r>
    <r>
      <rPr>
        <sz val="10"/>
        <color indexed="8"/>
        <rFont val="Times New Roman"/>
        <charset val="134"/>
      </rPr>
      <t>1</t>
    </r>
    <r>
      <rPr>
        <sz val="10"/>
        <color indexed="8"/>
        <rFont val="宋体"/>
        <charset val="134"/>
      </rPr>
      <t>层左边</t>
    </r>
  </si>
  <si>
    <r>
      <rPr>
        <sz val="10"/>
        <color theme="1"/>
        <rFont val="宋体"/>
        <charset val="134"/>
      </rPr>
      <t>聚乙二醇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</si>
  <si>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层</t>
    </r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</si>
  <si>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甲基苯甲醇</t>
    </r>
  </si>
  <si>
    <t>589-18-4</t>
  </si>
  <si>
    <r>
      <rPr>
        <sz val="10"/>
        <color theme="1"/>
        <rFont val="宋体"/>
        <charset val="134"/>
      </rPr>
      <t>分析纯</t>
    </r>
  </si>
  <si>
    <r>
      <rPr>
        <sz val="10"/>
        <color theme="1"/>
        <rFont val="Times New Roman"/>
        <charset val="134"/>
      </rPr>
      <t>1,6-</t>
    </r>
    <r>
      <rPr>
        <sz val="10"/>
        <color theme="1"/>
        <rFont val="宋体"/>
        <charset val="134"/>
      </rPr>
      <t>己二醇</t>
    </r>
  </si>
  <si>
    <t>629-11-8</t>
  </si>
  <si>
    <r>
      <rPr>
        <sz val="10"/>
        <color theme="1"/>
        <rFont val="宋体"/>
        <charset val="134"/>
      </rPr>
      <t>甲醇</t>
    </r>
  </si>
  <si>
    <r>
      <rPr>
        <sz val="10"/>
        <color rgb="FF000000"/>
        <rFont val="宋体"/>
        <charset val="134"/>
      </rPr>
      <t>对甲基苯硫醇</t>
    </r>
  </si>
  <si>
    <t>106-45-6</t>
  </si>
  <si>
    <r>
      <rPr>
        <sz val="10"/>
        <color indexed="8"/>
        <rFont val="宋体"/>
        <charset val="134"/>
      </rPr>
      <t>否</t>
    </r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</si>
  <si>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氨基苯酚</t>
    </r>
  </si>
  <si>
    <r>
      <rPr>
        <sz val="10"/>
        <color rgb="FF000000"/>
        <rFont val="宋体"/>
        <charset val="134"/>
      </rPr>
      <t>巯基乙醇</t>
    </r>
  </si>
  <si>
    <t>60-24-2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</si>
  <si>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层右下</t>
    </r>
  </si>
  <si>
    <r>
      <rPr>
        <sz val="10"/>
        <color indexed="8"/>
        <rFont val="Times New Roman"/>
        <charset val="134"/>
      </rPr>
      <t>215</t>
    </r>
    <r>
      <rPr>
        <sz val="10"/>
        <color indexed="8"/>
        <rFont val="宋体"/>
        <charset val="134"/>
      </rPr>
      <t>木柜上</t>
    </r>
    <r>
      <rPr>
        <sz val="10"/>
        <color indexed="8"/>
        <rFont val="Times New Roman"/>
        <charset val="134"/>
      </rPr>
      <t>2</t>
    </r>
    <r>
      <rPr>
        <sz val="10"/>
        <color indexed="8"/>
        <rFont val="宋体"/>
        <charset val="134"/>
      </rPr>
      <t>层中</t>
    </r>
  </si>
  <si>
    <r>
      <rPr>
        <sz val="10"/>
        <color rgb="FF000000"/>
        <rFont val="宋体"/>
        <charset val="134"/>
      </rPr>
      <t>吡啶硫醇</t>
    </r>
  </si>
  <si>
    <t>2734925-58-5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</si>
  <si>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右</t>
    </r>
  </si>
  <si>
    <r>
      <rPr>
        <sz val="10"/>
        <color indexed="8"/>
        <rFont val="宋体"/>
        <charset val="134"/>
      </rPr>
      <t>对甲基苯乙醇</t>
    </r>
  </si>
  <si>
    <t>699-02-5</t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</si>
  <si>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甲基</t>
    </r>
    <r>
      <rPr>
        <sz val="10"/>
        <color rgb="FF000000"/>
        <rFont val="Times New Roman"/>
        <charset val="134"/>
      </rPr>
      <t>-3-</t>
    </r>
    <r>
      <rPr>
        <sz val="10"/>
        <color rgb="FF000000"/>
        <rFont val="宋体"/>
        <charset val="134"/>
      </rPr>
      <t>丁炔</t>
    </r>
    <r>
      <rPr>
        <sz val="10"/>
        <color rgb="FF000000"/>
        <rFont val="Times New Roman"/>
        <charset val="134"/>
      </rPr>
      <t>-2-</t>
    </r>
    <r>
      <rPr>
        <sz val="10"/>
        <color rgb="FF000000"/>
        <rFont val="宋体"/>
        <charset val="134"/>
      </rPr>
      <t>醇</t>
    </r>
  </si>
  <si>
    <r>
      <rPr>
        <sz val="10"/>
        <color theme="1"/>
        <rFont val="宋体"/>
        <charset val="134"/>
      </rPr>
      <t>邻苯二酚</t>
    </r>
  </si>
  <si>
    <t>120-80-9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</si>
  <si>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层</t>
    </r>
  </si>
  <si>
    <r>
      <rPr>
        <sz val="10"/>
        <color theme="1"/>
        <rFont val="Times New Roman"/>
        <charset val="134"/>
      </rPr>
      <t>α-</t>
    </r>
    <r>
      <rPr>
        <sz val="10"/>
        <color theme="1"/>
        <rFont val="宋体"/>
        <charset val="134"/>
      </rPr>
      <t>萘酚</t>
    </r>
  </si>
  <si>
    <t>90-15-3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</si>
  <si>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甲基</t>
    </r>
    <r>
      <rPr>
        <sz val="10"/>
        <color theme="1"/>
        <rFont val="Times New Roman"/>
        <charset val="134"/>
      </rPr>
      <t>-3-</t>
    </r>
    <r>
      <rPr>
        <sz val="10"/>
        <color theme="1"/>
        <rFont val="宋体"/>
        <charset val="134"/>
      </rPr>
      <t>丁炔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醇</t>
    </r>
  </si>
  <si>
    <t>115-19-5</t>
  </si>
  <si>
    <r>
      <rPr>
        <sz val="10"/>
        <color theme="1"/>
        <rFont val="宋体"/>
        <charset val="134"/>
      </rPr>
      <t>苯甲醇</t>
    </r>
  </si>
  <si>
    <t>100-51-6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</si>
  <si>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甲氨基乙醇</t>
    </r>
  </si>
  <si>
    <t>109-83-1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</si>
  <si>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甲基</t>
    </r>
    <r>
      <rPr>
        <sz val="10"/>
        <color theme="1"/>
        <rFont val="Times New Roman"/>
        <charset val="134"/>
      </rPr>
      <t>-</t>
    </r>
    <r>
      <rPr>
        <sz val="10"/>
        <color theme="1"/>
        <rFont val="宋体"/>
        <charset val="134"/>
      </rPr>
      <t>丙醇</t>
    </r>
  </si>
  <si>
    <t>124-68-5</t>
  </si>
  <si>
    <r>
      <rPr>
        <sz val="10"/>
        <color theme="1"/>
        <rFont val="Times New Roman"/>
        <charset val="134"/>
      </rPr>
      <t>DL-</t>
    </r>
    <r>
      <rPr>
        <sz val="10"/>
        <color theme="1"/>
        <rFont val="宋体"/>
        <charset val="134"/>
      </rPr>
      <t>苯甘氨醇</t>
    </r>
  </si>
  <si>
    <t>7588-92-5</t>
  </si>
  <si>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-1,2-</t>
    </r>
    <r>
      <rPr>
        <sz val="10"/>
        <color theme="1"/>
        <rFont val="宋体"/>
        <charset val="134"/>
      </rPr>
      <t>丙二醇</t>
    </r>
  </si>
  <si>
    <t>616-30-8</t>
  </si>
  <si>
    <r>
      <rPr>
        <sz val="10"/>
        <color theme="1"/>
        <rFont val="Times New Roman"/>
        <charset val="134"/>
      </rPr>
      <t>1-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甲基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丙醇</t>
    </r>
  </si>
  <si>
    <t>2854-16-2</t>
  </si>
  <si>
    <r>
      <rPr>
        <sz val="10"/>
        <color theme="1"/>
        <rFont val="Times New Roman"/>
        <charset val="134"/>
      </rPr>
      <t>1-</t>
    </r>
    <r>
      <rPr>
        <sz val="10"/>
        <color theme="1"/>
        <rFont val="宋体"/>
        <charset val="134"/>
      </rPr>
      <t>苯基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氨基乙醇</t>
    </r>
  </si>
  <si>
    <t>7568-93-6</t>
  </si>
  <si>
    <r>
      <rPr>
        <sz val="10"/>
        <color theme="1"/>
        <rFont val="Times New Roman"/>
        <charset val="134"/>
      </rPr>
      <t>(R)-(-)-2-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-1-</t>
    </r>
    <r>
      <rPr>
        <sz val="10"/>
        <color theme="1"/>
        <rFont val="宋体"/>
        <charset val="134"/>
      </rPr>
      <t>丁醇</t>
    </r>
  </si>
  <si>
    <t>5856-63-3</t>
  </si>
  <si>
    <r>
      <rPr>
        <sz val="10"/>
        <color theme="1"/>
        <rFont val="Times New Roman"/>
        <charset val="134"/>
      </rPr>
      <t>L-(-)-</t>
    </r>
    <r>
      <rPr>
        <sz val="10"/>
        <color theme="1"/>
        <rFont val="宋体"/>
        <charset val="134"/>
      </rPr>
      <t>苯丙氨醇</t>
    </r>
  </si>
  <si>
    <t>3182-95-4</t>
  </si>
  <si>
    <t>苄硫醇</t>
  </si>
  <si>
    <t>100-53-8</t>
  </si>
  <si>
    <t>醇类</t>
  </si>
  <si>
    <r>
      <rPr>
        <sz val="10"/>
        <color rgb="FF000000"/>
        <rFont val="宋体"/>
        <charset val="134"/>
      </rPr>
      <t>邻硝基苯酚</t>
    </r>
  </si>
  <si>
    <r>
      <rPr>
        <sz val="10"/>
        <color rgb="FF000000"/>
        <rFont val="宋体"/>
        <charset val="134"/>
      </rPr>
      <t>酚类</t>
    </r>
  </si>
  <si>
    <t>4-羟基吡啶</t>
  </si>
  <si>
    <t>626-64-2</t>
  </si>
  <si>
    <t>酚类</t>
  </si>
  <si>
    <t>2-氨基-3-羟基吡啶</t>
  </si>
  <si>
    <t>16867-03-1</t>
  </si>
  <si>
    <t>3-氨基-4-羟基吡啶</t>
  </si>
  <si>
    <t>6320-39-4</t>
  </si>
  <si>
    <t>2-氨基-4-羟基吡啶</t>
  </si>
  <si>
    <t>33631-05-9</t>
  </si>
  <si>
    <t>3-羟基吡啶</t>
  </si>
  <si>
    <t>109-00-2</t>
  </si>
  <si>
    <r>
      <rPr>
        <sz val="10"/>
        <color theme="1"/>
        <rFont val="宋体"/>
        <charset val="134"/>
      </rPr>
      <t>萘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腈</t>
    </r>
  </si>
  <si>
    <t>613-46-7</t>
  </si>
  <si>
    <r>
      <rPr>
        <sz val="10"/>
        <color rgb="FF000000"/>
        <rFont val="宋体"/>
        <charset val="134"/>
      </rPr>
      <t>腈类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</si>
  <si>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</t>
    </r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右</t>
    </r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</si>
  <si>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甲基苯甲腈</t>
    </r>
  </si>
  <si>
    <t>26830-96-6</t>
  </si>
  <si>
    <r>
      <rPr>
        <sz val="10"/>
        <color rgb="FF000000"/>
        <rFont val="宋体"/>
        <charset val="134"/>
      </rPr>
      <t>乙腈</t>
    </r>
  </si>
  <si>
    <t>75-05-8</t>
  </si>
  <si>
    <r>
      <rPr>
        <sz val="10"/>
        <color indexed="8"/>
        <rFont val="宋体"/>
        <charset val="134"/>
      </rPr>
      <t>腈类</t>
    </r>
  </si>
  <si>
    <r>
      <rPr>
        <sz val="10"/>
        <color indexed="8"/>
        <rFont val="Times New Roman"/>
        <charset val="134"/>
      </rPr>
      <t>215</t>
    </r>
    <r>
      <rPr>
        <sz val="10"/>
        <color indexed="8"/>
        <rFont val="宋体"/>
        <charset val="134"/>
      </rPr>
      <t>木柜上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</si>
  <si>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</si>
  <si>
    <r>
      <rPr>
        <sz val="10"/>
        <color theme="1"/>
        <rFont val="宋体"/>
        <charset val="134"/>
      </rPr>
      <t>乙腈</t>
    </r>
  </si>
  <si>
    <t>CH3CN</t>
  </si>
  <si>
    <r>
      <rPr>
        <sz val="10"/>
        <color indexed="8"/>
        <rFont val="Times New Roman"/>
        <charset val="134"/>
      </rPr>
      <t>215</t>
    </r>
    <r>
      <rPr>
        <sz val="10"/>
        <color indexed="8"/>
        <rFont val="宋体"/>
        <charset val="134"/>
      </rPr>
      <t>木柜上</t>
    </r>
    <r>
      <rPr>
        <sz val="10"/>
        <color indexed="8"/>
        <rFont val="Times New Roman"/>
        <charset val="134"/>
      </rPr>
      <t>2</t>
    </r>
    <r>
      <rPr>
        <sz val="10"/>
        <color indexed="8"/>
        <rFont val="宋体"/>
        <charset val="134"/>
      </rPr>
      <t>层</t>
    </r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</si>
  <si>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溴苯甲腈</t>
    </r>
  </si>
  <si>
    <t>623-00-7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</si>
  <si>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层</t>
    </r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</si>
  <si>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氯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氨基苯腈</t>
    </r>
  </si>
  <si>
    <t>20925-27-3</t>
  </si>
  <si>
    <r>
      <rPr>
        <sz val="10"/>
        <color theme="1"/>
        <rFont val="宋体"/>
        <charset val="134"/>
      </rPr>
      <t>苯甲腈</t>
    </r>
  </si>
  <si>
    <t>110-47-0</t>
  </si>
  <si>
    <r>
      <rPr>
        <sz val="10"/>
        <color indexed="8"/>
        <rFont val="Times New Roman"/>
        <charset val="134"/>
      </rPr>
      <t>2-</t>
    </r>
    <r>
      <rPr>
        <sz val="10"/>
        <color indexed="8"/>
        <rFont val="宋体"/>
        <charset val="134"/>
      </rPr>
      <t>氨基苯甲腈</t>
    </r>
  </si>
  <si>
    <t>1885-29-6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</si>
  <si>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层中</t>
    </r>
  </si>
  <si>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氨基丙腈</t>
    </r>
  </si>
  <si>
    <t>151-18-8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</si>
  <si>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右</t>
    </r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</si>
  <si>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溴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甲基苄腈</t>
    </r>
  </si>
  <si>
    <t>42872-73-1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</si>
  <si>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氯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碘苯甲腈</t>
    </r>
  </si>
  <si>
    <t>61272-75-1</t>
  </si>
  <si>
    <r>
      <rPr>
        <sz val="10"/>
        <color theme="1"/>
        <rFont val="宋体"/>
        <charset val="134"/>
      </rPr>
      <t>邻碘苯腈</t>
    </r>
  </si>
  <si>
    <t>4387-36-4</t>
  </si>
  <si>
    <r>
      <rPr>
        <sz val="10"/>
        <color theme="1"/>
        <rFont val="宋体"/>
        <charset val="134"/>
      </rPr>
      <t>邻氯苯腈</t>
    </r>
  </si>
  <si>
    <t>873-32-5</t>
  </si>
  <si>
    <r>
      <rPr>
        <sz val="10"/>
        <color theme="1"/>
        <rFont val="宋体"/>
        <charset val="134"/>
      </rPr>
      <t>邻三氟甲氧基苯腈</t>
    </r>
  </si>
  <si>
    <t>63968-85-4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</si>
  <si>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氟</t>
    </r>
    <r>
      <rPr>
        <sz val="10"/>
        <color theme="1"/>
        <rFont val="Times New Roman"/>
        <charset val="134"/>
      </rPr>
      <t>-6-</t>
    </r>
    <r>
      <rPr>
        <sz val="10"/>
        <color theme="1"/>
        <rFont val="宋体"/>
        <charset val="134"/>
      </rPr>
      <t>碘苄腈</t>
    </r>
  </si>
  <si>
    <t>79544-29-8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</si>
  <si>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氯</t>
    </r>
    <r>
      <rPr>
        <sz val="10"/>
        <color theme="1"/>
        <rFont val="Times New Roman"/>
        <charset val="134"/>
      </rPr>
      <t>-3-</t>
    </r>
    <r>
      <rPr>
        <sz val="10"/>
        <color theme="1"/>
        <rFont val="宋体"/>
        <charset val="134"/>
      </rPr>
      <t>硝基苯甲腈</t>
    </r>
  </si>
  <si>
    <t>939-80-0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</si>
  <si>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碘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氟苯腈</t>
    </r>
  </si>
  <si>
    <t>1031929-20-0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</si>
  <si>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溴苯腈</t>
    </r>
  </si>
  <si>
    <t>2042-37-7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</si>
  <si>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-3-</t>
    </r>
    <r>
      <rPr>
        <sz val="10"/>
        <color theme="1"/>
        <rFont val="宋体"/>
        <charset val="134"/>
      </rPr>
      <t>碘苯腈</t>
    </r>
  </si>
  <si>
    <t>33348-34-4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</si>
  <si>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氟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甲氧基苯腈</t>
    </r>
  </si>
  <si>
    <t>94610-82-9</t>
  </si>
  <si>
    <t>2g</t>
  </si>
  <si>
    <r>
      <rPr>
        <sz val="10"/>
        <color theme="1"/>
        <rFont val="Times New Roman"/>
        <charset val="134"/>
      </rPr>
      <t>2,2-</t>
    </r>
    <r>
      <rPr>
        <sz val="10"/>
        <color theme="1"/>
        <rFont val="宋体"/>
        <charset val="134"/>
      </rPr>
      <t>偶氦二异丁腈</t>
    </r>
  </si>
  <si>
    <t>78-67-1</t>
  </si>
  <si>
    <r>
      <rPr>
        <sz val="10"/>
        <color rgb="FF000000"/>
        <rFont val="宋体"/>
        <charset val="134"/>
      </rPr>
      <t>甲基叔丁基醚</t>
    </r>
  </si>
  <si>
    <t>1634-04-4</t>
  </si>
  <si>
    <r>
      <rPr>
        <sz val="10"/>
        <color rgb="FF000000"/>
        <rFont val="宋体"/>
        <charset val="134"/>
      </rPr>
      <t>醚类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</si>
  <si>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层左</t>
    </r>
  </si>
  <si>
    <r>
      <rPr>
        <sz val="10"/>
        <color rgb="FF000000"/>
        <rFont val="宋体"/>
        <charset val="134"/>
      </rPr>
      <t>乙醚</t>
    </r>
  </si>
  <si>
    <t>60-29-7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</si>
  <si>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4</t>
    </r>
    <r>
      <rPr>
        <sz val="10"/>
        <color rgb="FF000000"/>
        <rFont val="宋体"/>
        <charset val="134"/>
      </rPr>
      <t>层右</t>
    </r>
  </si>
  <si>
    <r>
      <rPr>
        <sz val="10"/>
        <color theme="1"/>
        <rFont val="宋体"/>
        <charset val="134"/>
      </rPr>
      <t>甲基叔丁基醚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</si>
  <si>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4</t>
    </r>
    <r>
      <rPr>
        <sz val="10"/>
        <color rgb="FF000000"/>
        <rFont val="宋体"/>
        <charset val="134"/>
      </rPr>
      <t>右</t>
    </r>
  </si>
  <si>
    <r>
      <rPr>
        <sz val="10"/>
        <color theme="1"/>
        <rFont val="宋体"/>
        <charset val="134"/>
      </rPr>
      <t>四氢呋喃</t>
    </r>
  </si>
  <si>
    <t>109-99-9</t>
  </si>
  <si>
    <r>
      <rPr>
        <sz val="10"/>
        <color theme="1"/>
        <rFont val="宋体"/>
        <charset val="134"/>
      </rPr>
      <t>二乙二醇二甲醚</t>
    </r>
  </si>
  <si>
    <t>111-96-6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</si>
  <si>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木柜上四右</t>
    </r>
  </si>
  <si>
    <r>
      <rPr>
        <sz val="10"/>
        <color theme="1"/>
        <rFont val="宋体"/>
        <charset val="134"/>
      </rPr>
      <t>对氨基苯甲醚</t>
    </r>
  </si>
  <si>
    <r>
      <rPr>
        <sz val="10"/>
        <color theme="1"/>
        <rFont val="宋体"/>
        <charset val="134"/>
      </rPr>
      <t>邻氨基苯甲醚</t>
    </r>
  </si>
  <si>
    <t>90-04-0</t>
  </si>
  <si>
    <r>
      <rPr>
        <sz val="10"/>
        <color rgb="FF000000"/>
        <rFont val="宋体"/>
        <charset val="134"/>
      </rPr>
      <t>三氟化硼乙醚</t>
    </r>
  </si>
  <si>
    <t>109-63-7</t>
  </si>
  <si>
    <r>
      <rPr>
        <sz val="10"/>
        <color theme="1"/>
        <rFont val="宋体"/>
        <charset val="134"/>
      </rPr>
      <t>三氟化硼乙醚</t>
    </r>
  </si>
  <si>
    <r>
      <rPr>
        <sz val="10"/>
        <color theme="1"/>
        <rFont val="宋体"/>
        <charset val="134"/>
      </rPr>
      <t>烯丙基缩水甘油醚</t>
    </r>
  </si>
  <si>
    <t>106-92-3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</si>
  <si>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碘基</t>
    </r>
    <r>
      <rPr>
        <sz val="10"/>
        <color rgb="FF000000"/>
        <rFont val="Times New Roman"/>
        <charset val="0"/>
      </rPr>
      <t>-3-</t>
    </r>
    <r>
      <rPr>
        <sz val="10"/>
        <color rgb="FF000000"/>
        <rFont val="宋体"/>
        <charset val="134"/>
      </rPr>
      <t>硝基甲苯醚</t>
    </r>
  </si>
  <si>
    <t>58755-70-7</t>
  </si>
  <si>
    <t>醚类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</si>
  <si>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0"/>
      </rPr>
      <t>-5-</t>
    </r>
    <r>
      <rPr>
        <sz val="10"/>
        <color rgb="FF000000"/>
        <rFont val="宋体"/>
        <charset val="134"/>
      </rPr>
      <t>溴苯硫酚</t>
    </r>
  </si>
  <si>
    <t>23451-95-8</t>
  </si>
  <si>
    <t>4g</t>
  </si>
  <si>
    <t>二甲氧基甲烷</t>
  </si>
  <si>
    <t>109-87-5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</si>
  <si>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甲氧基苯硫酚</t>
    </r>
  </si>
  <si>
    <t>696-63-9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</si>
  <si>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硝基苯硫酚</t>
    </r>
  </si>
  <si>
    <t>1849-36-1</t>
  </si>
  <si>
    <r>
      <rPr>
        <sz val="10"/>
        <color rgb="FF000000"/>
        <rFont val="宋体"/>
        <charset val="134"/>
      </rPr>
      <t>保险粉</t>
    </r>
  </si>
  <si>
    <t>7775-14-6</t>
  </si>
  <si>
    <t>NaS2O4</t>
  </si>
  <si>
    <r>
      <rPr>
        <sz val="10"/>
        <color rgb="FF000000"/>
        <rFont val="宋体"/>
        <charset val="134"/>
      </rPr>
      <t>其他有机试剂</t>
    </r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</si>
  <si>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四号柜</t>
    </r>
  </si>
  <si>
    <r>
      <rPr>
        <sz val="10"/>
        <color theme="1"/>
        <rFont val="宋体"/>
        <charset val="134"/>
      </rPr>
      <t>二硫化碳</t>
    </r>
  </si>
  <si>
    <t>75-15-0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</si>
  <si>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三号柜</t>
    </r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</si>
  <si>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碘苄睛</t>
    </r>
  </si>
  <si>
    <r>
      <rPr>
        <sz val="10"/>
        <color theme="1"/>
        <rFont val="Times New Roman"/>
        <charset val="134"/>
      </rPr>
      <t>1,4-</t>
    </r>
    <r>
      <rPr>
        <sz val="10"/>
        <color theme="1"/>
        <rFont val="宋体"/>
        <charset val="134"/>
      </rPr>
      <t>二氧六环</t>
    </r>
  </si>
  <si>
    <t>123-91-1</t>
  </si>
  <si>
    <r>
      <rPr>
        <sz val="10"/>
        <color theme="1"/>
        <rFont val="宋体"/>
        <charset val="134"/>
      </rPr>
      <t>吗啡啉</t>
    </r>
  </si>
  <si>
    <t>110-91-8</t>
  </si>
  <si>
    <r>
      <rPr>
        <sz val="10"/>
        <color rgb="FF000000"/>
        <rFont val="宋体"/>
        <charset val="134"/>
      </rPr>
      <t>苯甲酸</t>
    </r>
  </si>
  <si>
    <t>65-85-0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</si>
  <si>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</t>
    </r>
    <r>
      <rPr>
        <sz val="10"/>
        <color rgb="FF000000"/>
        <rFont val="Times New Roman"/>
        <charset val="134"/>
      </rPr>
      <t>1</t>
    </r>
    <r>
      <rPr>
        <sz val="10"/>
        <color rgb="FF000000"/>
        <rFont val="宋体"/>
        <charset val="134"/>
      </rPr>
      <t>右</t>
    </r>
  </si>
  <si>
    <r>
      <rPr>
        <sz val="10"/>
        <color theme="1"/>
        <rFont val="宋体"/>
        <charset val="134"/>
      </rPr>
      <t>环氧氯丙烷</t>
    </r>
  </si>
  <si>
    <t>106-89-8</t>
  </si>
  <si>
    <t>216冰箱三层</t>
  </si>
  <si>
    <r>
      <rPr>
        <sz val="10"/>
        <color theme="1"/>
        <rFont val="宋体"/>
        <charset val="134"/>
      </rPr>
      <t>对氯苯乙炔</t>
    </r>
  </si>
  <si>
    <t>873-73-4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</si>
  <si>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中</t>
    </r>
  </si>
  <si>
    <r>
      <rPr>
        <sz val="10"/>
        <color theme="1"/>
        <rFont val="宋体"/>
        <charset val="134"/>
      </rPr>
      <t>电子清洗剂</t>
    </r>
    <r>
      <rPr>
        <sz val="10"/>
        <color theme="1"/>
        <rFont val="Times New Roman"/>
        <charset val="134"/>
      </rPr>
      <t>C</t>
    </r>
    <r>
      <rPr>
        <sz val="10"/>
        <color theme="1"/>
        <rFont val="宋体"/>
        <charset val="134"/>
      </rPr>
      <t>型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</si>
  <si>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铁柜</t>
    </r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</si>
  <si>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苯基噻唑</t>
    </r>
  </si>
  <si>
    <r>
      <rPr>
        <sz val="10"/>
        <color theme="1"/>
        <rFont val="宋体"/>
        <charset val="134"/>
      </rPr>
      <t>氯化亚铁同水合物</t>
    </r>
  </si>
  <si>
    <t>13478-10-9</t>
  </si>
  <si>
    <r>
      <rPr>
        <sz val="10"/>
        <color theme="1"/>
        <rFont val="宋体"/>
        <charset val="134"/>
      </rPr>
      <t>二茂铁</t>
    </r>
  </si>
  <si>
    <t>102-54-5</t>
  </si>
  <si>
    <t>NMP</t>
  </si>
  <si>
    <t>872-50-4</t>
  </si>
  <si>
    <r>
      <rPr>
        <sz val="10"/>
        <color theme="1"/>
        <rFont val="Times New Roman"/>
        <charset val="134"/>
      </rPr>
      <t>NMP</t>
    </r>
    <r>
      <rPr>
        <sz val="10"/>
        <color theme="1"/>
        <rFont val="宋体"/>
        <charset val="134"/>
      </rPr>
      <t>（含</t>
    </r>
    <r>
      <rPr>
        <sz val="10"/>
        <color theme="1"/>
        <rFont val="Times New Roman"/>
        <charset val="134"/>
      </rPr>
      <t>CO2</t>
    </r>
    <r>
      <rPr>
        <sz val="10"/>
        <color theme="1"/>
        <rFont val="宋体"/>
        <charset val="134"/>
      </rPr>
      <t>）</t>
    </r>
  </si>
  <si>
    <t>DMSO</t>
  </si>
  <si>
    <t>67-68-5</t>
  </si>
  <si>
    <r>
      <rPr>
        <sz val="10"/>
        <color theme="1"/>
        <rFont val="Times New Roman"/>
        <charset val="134"/>
      </rPr>
      <t>DMSO</t>
    </r>
    <r>
      <rPr>
        <sz val="10"/>
        <color theme="1"/>
        <rFont val="宋体"/>
        <charset val="134"/>
      </rPr>
      <t>（含</t>
    </r>
    <r>
      <rPr>
        <sz val="10"/>
        <color theme="1"/>
        <rFont val="Times New Roman"/>
        <charset val="134"/>
      </rPr>
      <t>CO2</t>
    </r>
    <r>
      <rPr>
        <sz val="10"/>
        <color theme="1"/>
        <rFont val="宋体"/>
        <charset val="134"/>
      </rPr>
      <t>）</t>
    </r>
  </si>
  <si>
    <r>
      <rPr>
        <sz val="10"/>
        <color theme="1"/>
        <rFont val="宋体"/>
        <charset val="134"/>
      </rPr>
      <t>二氯甲烷</t>
    </r>
  </si>
  <si>
    <t>75-09-2</t>
  </si>
  <si>
    <r>
      <rPr>
        <sz val="10"/>
        <color indexed="8"/>
        <rFont val="宋体"/>
        <charset val="134"/>
      </rPr>
      <t>其他有机试剂</t>
    </r>
  </si>
  <si>
    <r>
      <rPr>
        <sz val="10"/>
        <color theme="1"/>
        <rFont val="Times New Roman"/>
        <charset val="134"/>
      </rPr>
      <t>1,2-</t>
    </r>
    <r>
      <rPr>
        <sz val="10"/>
        <color theme="1"/>
        <rFont val="宋体"/>
        <charset val="134"/>
      </rPr>
      <t>二氯乙烷</t>
    </r>
  </si>
  <si>
    <t>107-06-2</t>
  </si>
  <si>
    <r>
      <rPr>
        <sz val="10"/>
        <color theme="1"/>
        <rFont val="宋体"/>
        <charset val="134"/>
      </rPr>
      <t>吡啶</t>
    </r>
  </si>
  <si>
    <t>110-86-1</t>
  </si>
  <si>
    <r>
      <rPr>
        <sz val="10"/>
        <color theme="1"/>
        <rFont val="宋体"/>
        <charset val="134"/>
      </rPr>
      <t>二甲基硅油</t>
    </r>
  </si>
  <si>
    <t>9006-65-9</t>
  </si>
  <si>
    <r>
      <rPr>
        <sz val="10"/>
        <color theme="1"/>
        <rFont val="宋体"/>
        <charset val="134"/>
      </rPr>
      <t>液体石蜡</t>
    </r>
  </si>
  <si>
    <t>8042-47-5</t>
  </si>
  <si>
    <r>
      <rPr>
        <sz val="10"/>
        <color rgb="FF000000"/>
        <rFont val="宋体"/>
        <charset val="134"/>
      </rPr>
      <t>苯酚</t>
    </r>
  </si>
  <si>
    <t>108-95-2</t>
  </si>
  <si>
    <r>
      <rPr>
        <sz val="10"/>
        <color rgb="FF000000"/>
        <rFont val="宋体"/>
        <charset val="134"/>
      </rPr>
      <t>分析纯</t>
    </r>
  </si>
  <si>
    <r>
      <rPr>
        <sz val="10"/>
        <color rgb="FF000000"/>
        <rFont val="宋体"/>
        <charset val="134"/>
      </rPr>
      <t>酚酞</t>
    </r>
  </si>
  <si>
    <r>
      <rPr>
        <sz val="10"/>
        <color rgb="FF000000"/>
        <rFont val="Times New Roman"/>
        <charset val="134"/>
      </rPr>
      <t>β-</t>
    </r>
    <r>
      <rPr>
        <sz val="10"/>
        <color rgb="FF000000"/>
        <rFont val="宋体"/>
        <charset val="134"/>
      </rPr>
      <t>环糊精</t>
    </r>
  </si>
  <si>
    <t>7585-39-9</t>
  </si>
  <si>
    <r>
      <rPr>
        <sz val="10"/>
        <color indexed="8"/>
        <rFont val="宋体"/>
        <charset val="134"/>
      </rPr>
      <t>核黄素</t>
    </r>
  </si>
  <si>
    <t>83-88-5</t>
  </si>
  <si>
    <t>97.5%-102%</t>
  </si>
  <si>
    <r>
      <rPr>
        <sz val="10"/>
        <color indexed="8"/>
        <rFont val="Times New Roman"/>
        <charset val="134"/>
      </rPr>
      <t>215</t>
    </r>
    <r>
      <rPr>
        <sz val="10"/>
        <color indexed="8"/>
        <rFont val="宋体"/>
        <charset val="134"/>
      </rPr>
      <t>铁柜</t>
    </r>
    <r>
      <rPr>
        <sz val="10"/>
        <color indexed="8"/>
        <rFont val="Times New Roman"/>
        <charset val="134"/>
      </rPr>
      <t>1</t>
    </r>
    <r>
      <rPr>
        <sz val="10"/>
        <color indexed="8"/>
        <rFont val="宋体"/>
        <charset val="134"/>
      </rPr>
      <t>层</t>
    </r>
  </si>
  <si>
    <r>
      <rPr>
        <sz val="10"/>
        <color indexed="8"/>
        <rFont val="宋体"/>
        <charset val="134"/>
      </rPr>
      <t>水溶黑色素</t>
    </r>
  </si>
  <si>
    <r>
      <rPr>
        <sz val="10"/>
        <color rgb="FF000000"/>
        <rFont val="宋体"/>
        <charset val="134"/>
      </rPr>
      <t>微晶纤维素</t>
    </r>
  </si>
  <si>
    <t>9004-34-6</t>
  </si>
  <si>
    <r>
      <rPr>
        <sz val="10"/>
        <color rgb="FF000000"/>
        <rFont val="宋体"/>
        <charset val="134"/>
      </rPr>
      <t>四氯化硅</t>
    </r>
  </si>
  <si>
    <t>10026-04-7</t>
  </si>
  <si>
    <r>
      <rPr>
        <sz val="10"/>
        <color theme="1"/>
        <rFont val="宋体"/>
        <charset val="134"/>
      </rPr>
      <t>氯化亚砜</t>
    </r>
  </si>
  <si>
    <r>
      <rPr>
        <sz val="10"/>
        <color theme="1"/>
        <rFont val="Times New Roman"/>
        <charset val="134"/>
      </rPr>
      <t>2,4-</t>
    </r>
    <r>
      <rPr>
        <sz val="10"/>
        <color theme="1"/>
        <rFont val="宋体"/>
        <charset val="134"/>
      </rPr>
      <t>二硝基氯苯</t>
    </r>
  </si>
  <si>
    <t>97-00-7</t>
  </si>
  <si>
    <r>
      <rPr>
        <sz val="10"/>
        <color rgb="FFFF0000"/>
        <rFont val="Times New Roman"/>
        <charset val="134"/>
      </rPr>
      <t>1,3-</t>
    </r>
    <r>
      <rPr>
        <sz val="10"/>
        <color rgb="FFFF0000"/>
        <rFont val="宋体"/>
        <charset val="134"/>
      </rPr>
      <t>硝基氯化苯</t>
    </r>
  </si>
  <si>
    <t>10g*25</t>
  </si>
  <si>
    <r>
      <rPr>
        <sz val="10"/>
        <color rgb="FF000000"/>
        <rFont val="宋体"/>
        <charset val="134"/>
      </rPr>
      <t>二硫化碳</t>
    </r>
  </si>
  <si>
    <r>
      <rPr>
        <sz val="10"/>
        <color rgb="FF000000"/>
        <rFont val="宋体"/>
        <charset val="134"/>
      </rPr>
      <t>硝基稀料</t>
    </r>
  </si>
  <si>
    <r>
      <rPr>
        <sz val="10"/>
        <color rgb="FF000000"/>
        <rFont val="宋体"/>
        <charset val="134"/>
      </rPr>
      <t>氯仿</t>
    </r>
  </si>
  <si>
    <t>67-66-3</t>
  </si>
  <si>
    <r>
      <rPr>
        <sz val="10"/>
        <color rgb="FF000000"/>
        <rFont val="宋体"/>
        <charset val="134"/>
      </rPr>
      <t>二苯甲酮</t>
    </r>
  </si>
  <si>
    <t>119-61-9</t>
  </si>
  <si>
    <r>
      <rPr>
        <sz val="10"/>
        <color rgb="FF000000"/>
        <rFont val="宋体"/>
        <charset val="134"/>
      </rPr>
      <t>琼脂干粉培养基</t>
    </r>
  </si>
  <si>
    <r>
      <rPr>
        <sz val="10"/>
        <color rgb="FF000000"/>
        <rFont val="宋体"/>
        <charset val="134"/>
      </rPr>
      <t>聚乙烯醇</t>
    </r>
  </si>
  <si>
    <r>
      <rPr>
        <sz val="10"/>
        <color theme="1"/>
        <rFont val="宋体"/>
        <charset val="134"/>
      </rPr>
      <t>吡嗪</t>
    </r>
  </si>
  <si>
    <t>290-37-9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</si>
  <si>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层右</t>
    </r>
  </si>
  <si>
    <t>亚硝酸钠</t>
  </si>
  <si>
    <t>694-53-1</t>
  </si>
  <si>
    <t>四氨合氯化钯一水合物</t>
  </si>
  <si>
    <t>13933-31-8</t>
  </si>
  <si>
    <r>
      <rPr>
        <sz val="10"/>
        <color rgb="FF000000"/>
        <rFont val="宋体"/>
        <charset val="134"/>
      </rPr>
      <t>二苄基二硫</t>
    </r>
  </si>
  <si>
    <t>150-60-7</t>
  </si>
  <si>
    <r>
      <rPr>
        <sz val="10"/>
        <color rgb="FF000000"/>
        <rFont val="Times New Roman"/>
        <charset val="134"/>
      </rPr>
      <t>N-</t>
    </r>
    <r>
      <rPr>
        <sz val="10"/>
        <color rgb="FF000000"/>
        <rFont val="宋体"/>
        <charset val="134"/>
      </rPr>
      <t>甲基甲酰苯胺</t>
    </r>
  </si>
  <si>
    <t>93-61-8</t>
  </si>
  <si>
    <r>
      <rPr>
        <sz val="10"/>
        <color rgb="FF000000"/>
        <rFont val="Times New Roman"/>
        <charset val="134"/>
      </rPr>
      <t>1-</t>
    </r>
    <r>
      <rPr>
        <sz val="10"/>
        <color rgb="FF000000"/>
        <rFont val="宋体"/>
        <charset val="134"/>
      </rPr>
      <t>辛硫醇</t>
    </r>
  </si>
  <si>
    <t>111-86-6</t>
  </si>
  <si>
    <r>
      <rPr>
        <sz val="10"/>
        <color rgb="FF000000"/>
        <rFont val="Times New Roman"/>
        <charset val="134"/>
      </rPr>
      <t>2,2'-</t>
    </r>
    <r>
      <rPr>
        <sz val="10"/>
        <color rgb="FF000000"/>
        <rFont val="宋体"/>
        <charset val="134"/>
      </rPr>
      <t>联苯二甲酸</t>
    </r>
  </si>
  <si>
    <t>482-05-3</t>
  </si>
  <si>
    <r>
      <rPr>
        <sz val="10"/>
        <color rgb="FF000000"/>
        <rFont val="宋体"/>
        <charset val="134"/>
      </rPr>
      <t>氧化苯乙烯</t>
    </r>
  </si>
  <si>
    <t>96-09-3</t>
  </si>
  <si>
    <t>98%+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</si>
  <si>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层</t>
    </r>
  </si>
  <si>
    <r>
      <rPr>
        <sz val="10"/>
        <color theme="1"/>
        <rFont val="宋体"/>
        <charset val="134"/>
      </rPr>
      <t>二甲基亚砜</t>
    </r>
  </si>
  <si>
    <r>
      <rPr>
        <sz val="10"/>
        <color indexed="8"/>
        <rFont val="Times New Roman"/>
        <charset val="134"/>
      </rPr>
      <t>215</t>
    </r>
    <r>
      <rPr>
        <sz val="10"/>
        <color indexed="8"/>
        <rFont val="宋体"/>
        <charset val="134"/>
      </rPr>
      <t>铁柜</t>
    </r>
    <r>
      <rPr>
        <sz val="10"/>
        <color indexed="8"/>
        <rFont val="Times New Roman"/>
        <charset val="134"/>
      </rPr>
      <t>3</t>
    </r>
    <r>
      <rPr>
        <sz val="10"/>
        <color indexed="8"/>
        <rFont val="宋体"/>
        <charset val="134"/>
      </rPr>
      <t>层</t>
    </r>
  </si>
  <si>
    <r>
      <rPr>
        <sz val="10"/>
        <color theme="1"/>
        <rFont val="宋体"/>
        <charset val="134"/>
      </rPr>
      <t>碘代苯</t>
    </r>
  </si>
  <si>
    <t>591-50-4</t>
  </si>
  <si>
    <t xml:space="preserve"> 110-86-1 </t>
  </si>
  <si>
    <t xml:space="preserve">109-99-9 </t>
  </si>
  <si>
    <r>
      <rPr>
        <sz val="10"/>
        <color indexed="8"/>
        <rFont val="Times New Roman"/>
        <charset val="134"/>
      </rPr>
      <t>2-</t>
    </r>
    <r>
      <rPr>
        <sz val="10"/>
        <color indexed="8"/>
        <rFont val="宋体"/>
        <charset val="134"/>
      </rPr>
      <t>硫醇基苯并噁唑</t>
    </r>
  </si>
  <si>
    <t>2382-96-9</t>
  </si>
  <si>
    <r>
      <rPr>
        <sz val="10"/>
        <color indexed="8"/>
        <rFont val="宋体"/>
        <charset val="134"/>
      </rPr>
      <t>三氟乙酸酐</t>
    </r>
  </si>
  <si>
    <t>407-25-0</t>
  </si>
  <si>
    <r>
      <rPr>
        <sz val="10"/>
        <color theme="1"/>
        <rFont val="宋体"/>
        <charset val="134"/>
      </rPr>
      <t>苯并噻唑</t>
    </r>
  </si>
  <si>
    <t>95-16-9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</si>
  <si>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巯基嘧啶</t>
    </r>
  </si>
  <si>
    <t>1450-85-7</t>
  </si>
  <si>
    <r>
      <rPr>
        <sz val="10"/>
        <color theme="1"/>
        <rFont val="宋体"/>
        <charset val="134"/>
      </rPr>
      <t>碘苯</t>
    </r>
  </si>
  <si>
    <r>
      <rPr>
        <sz val="10"/>
        <color theme="1"/>
        <rFont val="Times New Roman"/>
        <charset val="134"/>
      </rPr>
      <t>1</t>
    </r>
    <r>
      <rPr>
        <sz val="10"/>
        <color theme="1"/>
        <rFont val="宋体"/>
        <charset val="134"/>
      </rPr>
      <t>，</t>
    </r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二氯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硝基甲苯</t>
    </r>
  </si>
  <si>
    <t>601-88-7</t>
  </si>
  <si>
    <r>
      <rPr>
        <sz val="10"/>
        <color theme="1"/>
        <rFont val="Times New Roman"/>
        <charset val="134"/>
      </rPr>
      <t>1 5 7-</t>
    </r>
    <r>
      <rPr>
        <sz val="10"/>
        <color theme="1"/>
        <rFont val="宋体"/>
        <charset val="134"/>
      </rPr>
      <t>三叠氮双环</t>
    </r>
    <r>
      <rPr>
        <sz val="10"/>
        <color theme="1"/>
        <rFont val="Times New Roman"/>
        <charset val="134"/>
      </rPr>
      <t>(4.4.0)</t>
    </r>
    <r>
      <rPr>
        <sz val="10"/>
        <color theme="1"/>
        <rFont val="宋体"/>
        <charset val="134"/>
      </rPr>
      <t>癸</t>
    </r>
    <r>
      <rPr>
        <sz val="10"/>
        <color theme="1"/>
        <rFont val="Times New Roman"/>
        <charset val="134"/>
      </rPr>
      <t>-5-</t>
    </r>
    <r>
      <rPr>
        <sz val="10"/>
        <color theme="1"/>
        <rFont val="宋体"/>
        <charset val="134"/>
      </rPr>
      <t>烯</t>
    </r>
  </si>
  <si>
    <t>5807-14-7</t>
  </si>
  <si>
    <r>
      <rPr>
        <sz val="10"/>
        <color indexed="8"/>
        <rFont val="宋体"/>
        <charset val="134"/>
      </rPr>
      <t>碘甲烷</t>
    </r>
  </si>
  <si>
    <t>74-88-4</t>
  </si>
  <si>
    <r>
      <rPr>
        <sz val="10"/>
        <color rgb="FF000000"/>
        <rFont val="Times New Roman"/>
        <charset val="134"/>
      </rPr>
      <t>CH</t>
    </r>
    <r>
      <rPr>
        <vertAlign val="subscript"/>
        <sz val="10"/>
        <color rgb="FF000000"/>
        <rFont val="Times New Roman"/>
        <charset val="134"/>
      </rPr>
      <t>3</t>
    </r>
    <r>
      <rPr>
        <sz val="10"/>
        <color rgb="FF000000"/>
        <rFont val="Times New Roman"/>
        <charset val="134"/>
      </rPr>
      <t>I</t>
    </r>
  </si>
  <si>
    <r>
      <rPr>
        <sz val="10"/>
        <color theme="1"/>
        <rFont val="宋体"/>
        <charset val="134"/>
      </rPr>
      <t>吲哚</t>
    </r>
  </si>
  <si>
    <t>120-72-9</t>
  </si>
  <si>
    <r>
      <rPr>
        <sz val="10"/>
        <color theme="1"/>
        <rFont val="Times New Roman"/>
        <charset val="134"/>
      </rPr>
      <t>1</t>
    </r>
    <r>
      <rPr>
        <sz val="10"/>
        <color theme="1"/>
        <rFont val="宋体"/>
        <charset val="134"/>
      </rPr>
      <t>，</t>
    </r>
    <r>
      <rPr>
        <sz val="10"/>
        <color theme="1"/>
        <rFont val="Times New Roman"/>
        <charset val="134"/>
      </rPr>
      <t>3</t>
    </r>
    <r>
      <rPr>
        <sz val="10"/>
        <color theme="1"/>
        <rFont val="宋体"/>
        <charset val="134"/>
      </rPr>
      <t>，</t>
    </r>
    <r>
      <rPr>
        <sz val="10"/>
        <color theme="1"/>
        <rFont val="Times New Roman"/>
        <charset val="134"/>
      </rPr>
      <t>5-</t>
    </r>
    <r>
      <rPr>
        <sz val="10"/>
        <color theme="1"/>
        <rFont val="宋体"/>
        <charset val="134"/>
      </rPr>
      <t>三氯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硝基苯</t>
    </r>
  </si>
  <si>
    <t>18708-70-8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</si>
  <si>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氯</t>
    </r>
    <r>
      <rPr>
        <sz val="10"/>
        <color theme="1"/>
        <rFont val="Times New Roman"/>
        <charset val="134"/>
      </rPr>
      <t>-3</t>
    </r>
    <r>
      <rPr>
        <sz val="10"/>
        <color theme="1"/>
        <rFont val="宋体"/>
        <charset val="134"/>
      </rPr>
      <t>硝基三氟甲基苯</t>
    </r>
  </si>
  <si>
    <t>121-17-5</t>
  </si>
  <si>
    <r>
      <rPr>
        <sz val="10"/>
        <color theme="1"/>
        <rFont val="Times New Roman"/>
        <charset val="134"/>
      </rPr>
      <t>2</t>
    </r>
    <r>
      <rPr>
        <sz val="10"/>
        <color theme="1"/>
        <rFont val="宋体"/>
        <charset val="134"/>
      </rPr>
      <t>，</t>
    </r>
    <r>
      <rPr>
        <sz val="10"/>
        <color theme="1"/>
        <rFont val="Times New Roman"/>
        <charset val="134"/>
      </rPr>
      <t>5-</t>
    </r>
    <r>
      <rPr>
        <sz val="10"/>
        <color theme="1"/>
        <rFont val="宋体"/>
        <charset val="134"/>
      </rPr>
      <t>二氯硝基苯</t>
    </r>
  </si>
  <si>
    <t>89-61-2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</si>
  <si>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氯</t>
    </r>
    <r>
      <rPr>
        <sz val="10"/>
        <color theme="1"/>
        <rFont val="Times New Roman"/>
        <charset val="134"/>
      </rPr>
      <t>-3-</t>
    </r>
    <r>
      <rPr>
        <sz val="10"/>
        <color theme="1"/>
        <rFont val="宋体"/>
        <charset val="134"/>
      </rPr>
      <t>硝基甲苯</t>
    </r>
  </si>
  <si>
    <t>89-60-1</t>
  </si>
  <si>
    <r>
      <rPr>
        <sz val="10"/>
        <color theme="1"/>
        <rFont val="Times New Roman"/>
        <charset val="134"/>
      </rPr>
      <t>2</t>
    </r>
    <r>
      <rPr>
        <sz val="10"/>
        <color theme="1"/>
        <rFont val="宋体"/>
        <charset val="134"/>
      </rPr>
      <t>，</t>
    </r>
    <r>
      <rPr>
        <sz val="10"/>
        <color theme="1"/>
        <rFont val="Times New Roman"/>
        <charset val="134"/>
      </rPr>
      <t>4</t>
    </r>
    <r>
      <rPr>
        <sz val="10"/>
        <color theme="1"/>
        <rFont val="宋体"/>
        <charset val="134"/>
      </rPr>
      <t>二硝基氯苯</t>
    </r>
  </si>
  <si>
    <r>
      <rPr>
        <sz val="10"/>
        <color theme="1"/>
        <rFont val="宋体"/>
        <charset val="134"/>
      </rPr>
      <t>邻碘硝基苯</t>
    </r>
  </si>
  <si>
    <t>609-73-4</t>
  </si>
  <si>
    <r>
      <rPr>
        <sz val="10"/>
        <color theme="1"/>
        <rFont val="Times New Roman"/>
        <charset val="134"/>
      </rPr>
      <t>3</t>
    </r>
    <r>
      <rPr>
        <sz val="10"/>
        <color theme="1"/>
        <rFont val="宋体"/>
        <charset val="134"/>
      </rPr>
      <t>，</t>
    </r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二氨基甲苯</t>
    </r>
  </si>
  <si>
    <t>496-72-0</t>
  </si>
  <si>
    <t>氯乙酰氯</t>
  </si>
  <si>
    <r>
      <rPr>
        <sz val="10"/>
        <rFont val="宋体"/>
        <charset val="134"/>
      </rPr>
      <t>乙硫醇钠</t>
    </r>
  </si>
  <si>
    <t>811-51-8</t>
  </si>
  <si>
    <t>C2H7NaS</t>
  </si>
  <si>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溴丙炔</t>
    </r>
  </si>
  <si>
    <t>106-96-7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</si>
  <si>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氰基吡啶</t>
    </r>
  </si>
  <si>
    <t>100-70-9</t>
  </si>
  <si>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碘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氰基吡啶</t>
    </r>
  </si>
  <si>
    <t>827616-52-4</t>
  </si>
  <si>
    <r>
      <rPr>
        <sz val="10"/>
        <color theme="1"/>
        <rFont val="宋体"/>
        <charset val="134"/>
      </rPr>
      <t>沉降硫</t>
    </r>
  </si>
  <si>
    <t>3-324-84</t>
  </si>
  <si>
    <r>
      <rPr>
        <sz val="10"/>
        <color theme="1"/>
        <rFont val="宋体"/>
        <charset val="134"/>
      </rPr>
      <t>邻菲啰啉</t>
    </r>
  </si>
  <si>
    <t>5144-89-8</t>
  </si>
  <si>
    <r>
      <rPr>
        <sz val="10"/>
        <color theme="1"/>
        <rFont val="Times New Roman"/>
        <charset val="134"/>
      </rPr>
      <t>1</t>
    </r>
    <r>
      <rPr>
        <sz val="10"/>
        <color theme="1"/>
        <rFont val="宋体"/>
        <charset val="134"/>
      </rPr>
      <t>，</t>
    </r>
    <r>
      <rPr>
        <sz val="10"/>
        <color theme="1"/>
        <rFont val="Times New Roman"/>
        <charset val="134"/>
      </rPr>
      <t>10-</t>
    </r>
    <r>
      <rPr>
        <sz val="10"/>
        <color theme="1"/>
        <rFont val="宋体"/>
        <charset val="134"/>
      </rPr>
      <t>菲啰啉</t>
    </r>
  </si>
  <si>
    <r>
      <rPr>
        <sz val="10"/>
        <color theme="1"/>
        <rFont val="宋体"/>
        <charset val="134"/>
      </rPr>
      <t>溴甲烷</t>
    </r>
  </si>
  <si>
    <t>74-83-9</t>
  </si>
  <si>
    <r>
      <rPr>
        <sz val="10"/>
        <color theme="1"/>
        <rFont val="宋体"/>
        <charset val="134"/>
      </rPr>
      <t>乙酰丙酮化铁</t>
    </r>
  </si>
  <si>
    <t>14024-18-1</t>
  </si>
  <si>
    <r>
      <rPr>
        <sz val="10"/>
        <rFont val="宋体"/>
        <charset val="134"/>
      </rPr>
      <t>十二烷基苯磺酸钠</t>
    </r>
  </si>
  <si>
    <t>71244-85-4</t>
  </si>
  <si>
    <r>
      <rPr>
        <sz val="10"/>
        <color theme="1"/>
        <rFont val="宋体"/>
        <charset val="134"/>
      </rPr>
      <t>邻氯硝基苯</t>
    </r>
  </si>
  <si>
    <t>88-73-3</t>
  </si>
  <si>
    <r>
      <rPr>
        <sz val="10"/>
        <rFont val="宋体"/>
        <charset val="134"/>
      </rPr>
      <t>碘甲烷</t>
    </r>
  </si>
  <si>
    <t>CH3I</t>
  </si>
  <si>
    <r>
      <rPr>
        <sz val="10"/>
        <color theme="1"/>
        <rFont val="Times New Roman"/>
        <charset val="134"/>
      </rPr>
      <t>1,8-</t>
    </r>
    <r>
      <rPr>
        <sz val="10"/>
        <color theme="1"/>
        <rFont val="宋体"/>
        <charset val="134"/>
      </rPr>
      <t>二氮杂二环</t>
    </r>
    <r>
      <rPr>
        <sz val="10"/>
        <color theme="1"/>
        <rFont val="Times New Roman"/>
        <charset val="134"/>
      </rPr>
      <t>[5,4,0]</t>
    </r>
    <r>
      <rPr>
        <sz val="10"/>
        <color theme="1"/>
        <rFont val="宋体"/>
        <charset val="134"/>
      </rPr>
      <t>十一碳</t>
    </r>
    <r>
      <rPr>
        <sz val="10"/>
        <color theme="1"/>
        <rFont val="Times New Roman"/>
        <charset val="134"/>
      </rPr>
      <t>-7-</t>
    </r>
    <r>
      <rPr>
        <sz val="10"/>
        <color theme="1"/>
        <rFont val="宋体"/>
        <charset val="134"/>
      </rPr>
      <t>烯</t>
    </r>
  </si>
  <si>
    <t>674-22-2</t>
  </si>
  <si>
    <r>
      <rPr>
        <sz val="10"/>
        <color theme="1"/>
        <rFont val="宋体"/>
        <charset val="134"/>
      </rPr>
      <t>分子筛</t>
    </r>
  </si>
  <si>
    <t>12173-28-3</t>
  </si>
  <si>
    <r>
      <rPr>
        <sz val="10"/>
        <rFont val="宋体"/>
        <charset val="134"/>
      </rPr>
      <t>二硫化碳</t>
    </r>
  </si>
  <si>
    <t>CS2</t>
  </si>
  <si>
    <r>
      <rPr>
        <sz val="10"/>
        <color theme="1"/>
        <rFont val="宋体"/>
        <charset val="134"/>
      </rPr>
      <t>四氯化碳</t>
    </r>
  </si>
  <si>
    <t>56-23-5</t>
  </si>
  <si>
    <t>CCl4</t>
  </si>
  <si>
    <t>10ml</t>
  </si>
  <si>
    <r>
      <rPr>
        <sz val="10"/>
        <color rgb="FF000000"/>
        <rFont val="宋体"/>
        <charset val="134"/>
      </rPr>
      <t>液体石蜡</t>
    </r>
  </si>
  <si>
    <t>THF</t>
  </si>
  <si>
    <r>
      <rPr>
        <sz val="10"/>
        <color rgb="FFFF7300"/>
        <rFont val="Times New Roman"/>
        <charset val="134"/>
      </rPr>
      <t>1,5-</t>
    </r>
    <r>
      <rPr>
        <sz val="10"/>
        <color rgb="FFFF7300"/>
        <rFont val="宋体"/>
        <charset val="134"/>
      </rPr>
      <t>二氮杂双环</t>
    </r>
    <r>
      <rPr>
        <sz val="10"/>
        <color rgb="FFFF7300"/>
        <rFont val="Times New Roman"/>
        <charset val="134"/>
      </rPr>
      <t>[4.3.0]</t>
    </r>
    <r>
      <rPr>
        <sz val="10"/>
        <color rgb="FFFF7300"/>
        <rFont val="宋体"/>
        <charset val="134"/>
      </rPr>
      <t>壬</t>
    </r>
    <r>
      <rPr>
        <sz val="10"/>
        <color rgb="FFFF7300"/>
        <rFont val="Times New Roman"/>
        <charset val="134"/>
      </rPr>
      <t>-5-</t>
    </r>
    <r>
      <rPr>
        <sz val="10"/>
        <color rgb="FFFF7300"/>
        <rFont val="宋体"/>
        <charset val="134"/>
      </rPr>
      <t>烯</t>
    </r>
  </si>
  <si>
    <t>3001-72-7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</si>
  <si>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铁柜</t>
    </r>
    <r>
      <rPr>
        <sz val="10"/>
        <color rgb="FF000000"/>
        <rFont val="Times New Roman"/>
        <charset val="134"/>
      </rPr>
      <t>4</t>
    </r>
    <r>
      <rPr>
        <sz val="10"/>
        <color rgb="FF000000"/>
        <rFont val="宋体"/>
        <charset val="134"/>
      </rPr>
      <t>层</t>
    </r>
  </si>
  <si>
    <r>
      <rPr>
        <sz val="10"/>
        <color theme="1"/>
        <rFont val="宋体"/>
        <charset val="134"/>
      </rPr>
      <t>二氢吲哚</t>
    </r>
  </si>
  <si>
    <t>496-15-1</t>
  </si>
  <si>
    <r>
      <rPr>
        <sz val="10"/>
        <color theme="1"/>
        <rFont val="宋体"/>
        <charset val="134"/>
      </rPr>
      <t>二苯基硅烷</t>
    </r>
  </si>
  <si>
    <t>775-12-2</t>
  </si>
  <si>
    <r>
      <rPr>
        <sz val="10"/>
        <color theme="1"/>
        <rFont val="Times New Roman"/>
        <charset val="134"/>
      </rPr>
      <t>2-(</t>
    </r>
    <r>
      <rPr>
        <sz val="10"/>
        <color theme="1"/>
        <rFont val="宋体"/>
        <charset val="134"/>
      </rPr>
      <t>甲氨基</t>
    </r>
    <r>
      <rPr>
        <sz val="10"/>
        <color theme="1"/>
        <rFont val="Times New Roman"/>
        <charset val="134"/>
      </rPr>
      <t>)</t>
    </r>
    <r>
      <rPr>
        <sz val="10"/>
        <color theme="1"/>
        <rFont val="宋体"/>
        <charset val="134"/>
      </rPr>
      <t>吡啶</t>
    </r>
  </si>
  <si>
    <t>4597-87-9</t>
  </si>
  <si>
    <r>
      <rPr>
        <sz val="10"/>
        <color theme="1"/>
        <rFont val="宋体"/>
        <charset val="134"/>
      </rPr>
      <t>乙酸汞</t>
    </r>
  </si>
  <si>
    <t>1600-27-7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</si>
  <si>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氨基吡啶</t>
    </r>
  </si>
  <si>
    <t>504-24-5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</si>
  <si>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氨基吡啶</t>
    </r>
  </si>
  <si>
    <t>504-29-0</t>
  </si>
  <si>
    <r>
      <rPr>
        <sz val="10"/>
        <color theme="1"/>
        <rFont val="宋体"/>
        <charset val="134"/>
      </rPr>
      <t>否</t>
    </r>
  </si>
  <si>
    <r>
      <rPr>
        <sz val="10"/>
        <color theme="1"/>
        <rFont val="宋体"/>
        <charset val="134"/>
      </rPr>
      <t>其他有机试剂</t>
    </r>
  </si>
  <si>
    <r>
      <rPr>
        <sz val="10"/>
        <color theme="1"/>
        <rFont val="Times New Roman"/>
        <charset val="134"/>
      </rPr>
      <t>201</t>
    </r>
    <r>
      <rPr>
        <sz val="10"/>
        <color theme="1"/>
        <rFont val="宋体"/>
        <charset val="134"/>
      </rPr>
      <t>保干器</t>
    </r>
  </si>
  <si>
    <r>
      <rPr>
        <sz val="10"/>
        <color theme="1"/>
        <rFont val="宋体"/>
        <charset val="134"/>
      </rPr>
      <t>正己醇</t>
    </r>
  </si>
  <si>
    <t>111-27-3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</si>
  <si>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保干器</t>
    </r>
  </si>
  <si>
    <r>
      <rPr>
        <sz val="10"/>
        <color theme="1"/>
        <rFont val="宋体"/>
        <charset val="134"/>
      </rPr>
      <t>氘代</t>
    </r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-5-</t>
    </r>
    <r>
      <rPr>
        <sz val="10"/>
        <color theme="1"/>
        <rFont val="宋体"/>
        <charset val="134"/>
      </rPr>
      <t>吗啉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甲基</t>
    </r>
    <r>
      <rPr>
        <sz val="10"/>
        <color theme="1"/>
        <rFont val="Times New Roman"/>
        <charset val="134"/>
      </rPr>
      <t>-</t>
    </r>
    <r>
      <rPr>
        <sz val="10"/>
        <color theme="1"/>
        <rFont val="宋体"/>
        <charset val="134"/>
      </rPr>
      <t>恶唑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啉酮</t>
    </r>
  </si>
  <si>
    <t>15573-38-3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</si>
  <si>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苯基苯并咪唑</t>
    </r>
  </si>
  <si>
    <t>716-29-0</t>
  </si>
  <si>
    <r>
      <rPr>
        <sz val="10"/>
        <color theme="1"/>
        <rFont val="宋体"/>
        <charset val="134"/>
      </rPr>
      <t>乙烯基二茂铁</t>
    </r>
  </si>
  <si>
    <t>1271-51-8</t>
  </si>
  <si>
    <r>
      <rPr>
        <sz val="10"/>
        <color theme="1"/>
        <rFont val="宋体"/>
        <charset val="134"/>
      </rPr>
      <t>双</t>
    </r>
    <r>
      <rPr>
        <sz val="10"/>
        <color theme="1"/>
        <rFont val="Times New Roman"/>
        <charset val="134"/>
      </rPr>
      <t>-[3-(</t>
    </r>
    <r>
      <rPr>
        <sz val="10"/>
        <color theme="1"/>
        <rFont val="宋体"/>
        <charset val="134"/>
      </rPr>
      <t>三乙氧基硅</t>
    </r>
    <r>
      <rPr>
        <sz val="10"/>
        <color theme="1"/>
        <rFont val="Times New Roman"/>
        <charset val="134"/>
      </rPr>
      <t>)</t>
    </r>
    <r>
      <rPr>
        <sz val="10"/>
        <color theme="1"/>
        <rFont val="宋体"/>
        <charset val="134"/>
      </rPr>
      <t>丙基</t>
    </r>
    <r>
      <rPr>
        <sz val="10"/>
        <color theme="1"/>
        <rFont val="Times New Roman"/>
        <charset val="134"/>
      </rPr>
      <t>]-</t>
    </r>
    <r>
      <rPr>
        <sz val="10"/>
        <color theme="1"/>
        <rFont val="宋体"/>
        <charset val="134"/>
      </rPr>
      <t>二硫化物</t>
    </r>
  </si>
  <si>
    <t>56706-10-6</t>
  </si>
  <si>
    <r>
      <rPr>
        <sz val="10"/>
        <color theme="1"/>
        <rFont val="宋体"/>
        <charset val="134"/>
      </rPr>
      <t>二茂铁乙炔</t>
    </r>
  </si>
  <si>
    <t>1271-47-2</t>
  </si>
  <si>
    <r>
      <rPr>
        <sz val="10"/>
        <color rgb="FF000000"/>
        <rFont val="宋体"/>
        <charset val="134"/>
      </rPr>
      <t>氯乙酰</t>
    </r>
  </si>
  <si>
    <t>75-36-5</t>
  </si>
  <si>
    <t>C2H3ClO</t>
  </si>
  <si>
    <r>
      <rPr>
        <sz val="10"/>
        <color rgb="FF000000"/>
        <rFont val="宋体"/>
        <charset val="134"/>
      </rPr>
      <t>溴乙烷</t>
    </r>
  </si>
  <si>
    <t>74-96-4</t>
  </si>
  <si>
    <t>C2H5Br</t>
  </si>
  <si>
    <r>
      <rPr>
        <sz val="10"/>
        <color rgb="FF000000"/>
        <rFont val="宋体"/>
        <charset val="134"/>
      </rPr>
      <t>柚皮素</t>
    </r>
  </si>
  <si>
    <t>480-41-1</t>
  </si>
  <si>
    <r>
      <rPr>
        <sz val="10"/>
        <color rgb="FF000000"/>
        <rFont val="宋体"/>
        <charset val="134"/>
      </rPr>
      <t>谷胱甘肽</t>
    </r>
  </si>
  <si>
    <t>70-18-8</t>
  </si>
  <si>
    <r>
      <rPr>
        <sz val="10"/>
        <color rgb="FF000000"/>
        <rFont val="宋体"/>
        <charset val="134"/>
      </rPr>
      <t>姜黄素</t>
    </r>
  </si>
  <si>
    <t>458-37-7</t>
  </si>
  <si>
    <r>
      <rPr>
        <sz val="10"/>
        <color rgb="FF000000"/>
        <rFont val="宋体"/>
        <charset val="134"/>
      </rPr>
      <t>葛根素</t>
    </r>
  </si>
  <si>
    <t>3681-99-0</t>
  </si>
  <si>
    <r>
      <rPr>
        <sz val="10"/>
        <color rgb="FF000000"/>
        <rFont val="宋体"/>
        <charset val="134"/>
      </rPr>
      <t>大黄素</t>
    </r>
  </si>
  <si>
    <t>518-82-1</t>
  </si>
  <si>
    <r>
      <rPr>
        <sz val="10"/>
        <color rgb="FF000000"/>
        <rFont val="宋体"/>
        <charset val="134"/>
      </rPr>
      <t>二苯基磷酸钾</t>
    </r>
  </si>
  <si>
    <t>15475-27-1</t>
  </si>
  <si>
    <r>
      <rPr>
        <sz val="10"/>
        <color rgb="FF000000"/>
        <rFont val="宋体"/>
        <charset val="134"/>
      </rPr>
      <t>氘代</t>
    </r>
    <r>
      <rPr>
        <sz val="10"/>
        <color rgb="FF000000"/>
        <rFont val="Times New Roman"/>
        <charset val="134"/>
      </rPr>
      <t>DMSO</t>
    </r>
  </si>
  <si>
    <t>2206-27-1</t>
  </si>
  <si>
    <t>20ml</t>
  </si>
  <si>
    <r>
      <rPr>
        <sz val="9.75"/>
        <color rgb="FF000000"/>
        <rFont val="宋体"/>
        <charset val="134"/>
      </rPr>
      <t>木犀草素</t>
    </r>
  </si>
  <si>
    <t>491-70-3</t>
  </si>
  <si>
    <r>
      <rPr>
        <sz val="10"/>
        <color rgb="FF000000"/>
        <rFont val="宋体"/>
        <charset val="134"/>
      </rPr>
      <t>磺丁基</t>
    </r>
    <r>
      <rPr>
        <sz val="10"/>
        <color rgb="FF000000"/>
        <rFont val="Times New Roman"/>
        <charset val="134"/>
      </rPr>
      <t>-β-</t>
    </r>
    <r>
      <rPr>
        <sz val="10"/>
        <color rgb="FF000000"/>
        <rFont val="宋体"/>
        <charset val="134"/>
      </rPr>
      <t>环糊精钠盐</t>
    </r>
  </si>
  <si>
    <t>182410-00-0</t>
  </si>
  <si>
    <t>≥99%</t>
  </si>
  <si>
    <r>
      <rPr>
        <sz val="10"/>
        <color theme="1"/>
        <rFont val="Times New Roman"/>
        <charset val="134"/>
      </rPr>
      <t>2-2-</t>
    </r>
    <r>
      <rPr>
        <sz val="10"/>
        <color theme="1"/>
        <rFont val="宋体"/>
        <charset val="134"/>
      </rPr>
      <t>二甲氧基丙烷</t>
    </r>
  </si>
  <si>
    <t>77-76-9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</si>
  <si>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乙酰吡啶</t>
    </r>
  </si>
  <si>
    <t>1122-62-9</t>
  </si>
  <si>
    <r>
      <rPr>
        <sz val="10"/>
        <color rgb="FF000000"/>
        <rFont val="Times New Roman"/>
        <charset val="134"/>
      </rPr>
      <t>216</t>
    </r>
    <r>
      <rPr>
        <sz val="10"/>
        <color rgb="FF000000"/>
        <rFont val="宋体"/>
        <charset val="134"/>
      </rPr>
      <t>冰箱三层</t>
    </r>
  </si>
  <si>
    <r>
      <rPr>
        <sz val="10"/>
        <color theme="1"/>
        <rFont val="宋体"/>
        <charset val="134"/>
      </rPr>
      <t>吡咯</t>
    </r>
  </si>
  <si>
    <t>109-97-7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</si>
  <si>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乙酰呋喃</t>
    </r>
  </si>
  <si>
    <t>1192-62-7</t>
  </si>
  <si>
    <r>
      <rPr>
        <sz val="10"/>
        <color rgb="FF000000"/>
        <rFont val="宋体"/>
        <charset val="134"/>
      </rPr>
      <t>芦丁</t>
    </r>
  </si>
  <si>
    <t>153-18-4</t>
  </si>
  <si>
    <t>100mg</t>
  </si>
  <si>
    <t>25mg</t>
  </si>
  <si>
    <r>
      <rPr>
        <sz val="10"/>
        <color theme="1"/>
        <rFont val="Times New Roman"/>
        <charset val="134"/>
      </rPr>
      <t>201</t>
    </r>
    <r>
      <rPr>
        <sz val="10"/>
        <color theme="1"/>
        <rFont val="宋体"/>
        <charset val="134"/>
      </rPr>
      <t>冰箱二层</t>
    </r>
  </si>
  <si>
    <r>
      <rPr>
        <sz val="10"/>
        <color rgb="FF000000"/>
        <rFont val="宋体"/>
        <charset val="134"/>
      </rPr>
      <t>橙皮甙</t>
    </r>
  </si>
  <si>
    <t>520-26-3</t>
  </si>
  <si>
    <r>
      <rPr>
        <sz val="10"/>
        <color rgb="FF000000"/>
        <rFont val="宋体"/>
        <charset val="134"/>
      </rPr>
      <t>尼罗红</t>
    </r>
  </si>
  <si>
    <t>7385-67-3</t>
  </si>
  <si>
    <r>
      <rPr>
        <sz val="10"/>
        <color rgb="FF000000"/>
        <rFont val="宋体"/>
        <charset val="134"/>
      </rPr>
      <t>四氯邻苯醌</t>
    </r>
  </si>
  <si>
    <t>2435-53-2</t>
  </si>
  <si>
    <r>
      <rPr>
        <sz val="10"/>
        <color rgb="FF000000"/>
        <rFont val="宋体"/>
        <charset val="134"/>
      </rPr>
      <t>对苯醌</t>
    </r>
  </si>
  <si>
    <t>106-51-4</t>
  </si>
  <si>
    <t>C6H4O2</t>
  </si>
  <si>
    <r>
      <rPr>
        <sz val="10"/>
        <color rgb="FF000000"/>
        <rFont val="Times New Roman"/>
        <charset val="134"/>
      </rPr>
      <t>2,2-</t>
    </r>
    <r>
      <rPr>
        <sz val="10"/>
        <color rgb="FF000000"/>
        <rFont val="宋体"/>
        <charset val="134"/>
      </rPr>
      <t>联苯基</t>
    </r>
    <r>
      <rPr>
        <sz val="10"/>
        <color rgb="FF000000"/>
        <rFont val="Times New Roman"/>
        <charset val="134"/>
      </rPr>
      <t>-1-</t>
    </r>
    <r>
      <rPr>
        <sz val="10"/>
        <color rgb="FF000000"/>
        <rFont val="宋体"/>
        <charset val="134"/>
      </rPr>
      <t>苦基肼基</t>
    </r>
  </si>
  <si>
    <t>1898-66-4</t>
  </si>
  <si>
    <t>环氧</t>
  </si>
  <si>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，</t>
    </r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联氨</t>
    </r>
    <r>
      <rPr>
        <sz val="10"/>
        <color rgb="FF000000"/>
        <rFont val="Times New Roman"/>
        <charset val="134"/>
      </rPr>
      <t>-</t>
    </r>
    <r>
      <rPr>
        <sz val="10"/>
        <color rgb="FF000000"/>
        <rFont val="宋体"/>
        <charset val="134"/>
      </rPr>
      <t>双（</t>
    </r>
    <r>
      <rPr>
        <sz val="10"/>
        <color rgb="FF000000"/>
        <rFont val="Times New Roman"/>
        <charset val="134"/>
      </rPr>
      <t>3-</t>
    </r>
    <r>
      <rPr>
        <sz val="10"/>
        <color rgb="FF000000"/>
        <rFont val="宋体"/>
        <charset val="134"/>
      </rPr>
      <t>乙基苯并噻唑啉</t>
    </r>
    <r>
      <rPr>
        <sz val="10"/>
        <color rgb="FF000000"/>
        <rFont val="Times New Roman"/>
        <charset val="134"/>
      </rPr>
      <t>-6-</t>
    </r>
    <r>
      <rPr>
        <sz val="10"/>
        <color rgb="FF000000"/>
        <rFont val="宋体"/>
        <charset val="134"/>
      </rPr>
      <t>磺酸）二胺盐</t>
    </r>
  </si>
  <si>
    <t>30931-67-0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</si>
  <si>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乙酰噻吩</t>
    </r>
  </si>
  <si>
    <t>88-15-3</t>
  </si>
  <si>
    <r>
      <rPr>
        <sz val="10"/>
        <color rgb="FF000000"/>
        <rFont val="宋体"/>
        <charset val="134"/>
      </rPr>
      <t>叶黄素</t>
    </r>
  </si>
  <si>
    <t>127-40-2</t>
  </si>
  <si>
    <r>
      <rPr>
        <sz val="10"/>
        <color theme="1"/>
        <rFont val="Times New Roman"/>
        <charset val="134"/>
      </rPr>
      <t>2,2,6,6-</t>
    </r>
    <r>
      <rPr>
        <sz val="10"/>
        <color theme="1"/>
        <rFont val="宋体"/>
        <charset val="134"/>
      </rPr>
      <t>四甲基哌啶</t>
    </r>
    <r>
      <rPr>
        <sz val="10"/>
        <color theme="1"/>
        <rFont val="Times New Roman"/>
        <charset val="134"/>
      </rPr>
      <t>-1-</t>
    </r>
    <r>
      <rPr>
        <sz val="10"/>
        <color theme="1"/>
        <rFont val="宋体"/>
        <charset val="134"/>
      </rPr>
      <t>氧基</t>
    </r>
  </si>
  <si>
    <r>
      <rPr>
        <sz val="10"/>
        <color rgb="FF000000"/>
        <rFont val="Times New Roman"/>
        <charset val="134"/>
      </rPr>
      <t>216</t>
    </r>
    <r>
      <rPr>
        <sz val="10"/>
        <color rgb="FF000000"/>
        <rFont val="宋体"/>
        <charset val="134"/>
      </rPr>
      <t>冰箱一层</t>
    </r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</si>
  <si>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甲基环氧丙烷</t>
    </r>
  </si>
  <si>
    <t>558-30-5</t>
  </si>
  <si>
    <r>
      <rPr>
        <sz val="10"/>
        <color theme="1"/>
        <rFont val="Times New Roman"/>
        <charset val="134"/>
      </rPr>
      <t>1,2-</t>
    </r>
    <r>
      <rPr>
        <sz val="10"/>
        <color theme="1"/>
        <rFont val="宋体"/>
        <charset val="134"/>
      </rPr>
      <t>环氧己烷</t>
    </r>
  </si>
  <si>
    <t>1436-34-6</t>
  </si>
  <si>
    <r>
      <rPr>
        <sz val="10"/>
        <color rgb="FF000000"/>
        <rFont val="宋体"/>
        <charset val="134"/>
      </rPr>
      <t>氘代亚砜</t>
    </r>
  </si>
  <si>
    <t>10×0.55ml</t>
  </si>
  <si>
    <r>
      <rPr>
        <sz val="10"/>
        <color rgb="FF000000"/>
        <rFont val="宋体"/>
        <charset val="134"/>
      </rPr>
      <t>氘代氯仿</t>
    </r>
  </si>
  <si>
    <t>865-49-6</t>
  </si>
  <si>
    <t>10×0.6ml</t>
  </si>
  <si>
    <r>
      <rPr>
        <sz val="10"/>
        <color rgb="FF000000"/>
        <rFont val="宋体"/>
        <charset val="134"/>
      </rPr>
      <t>三氯氧钒</t>
    </r>
  </si>
  <si>
    <t>7727-18-6</t>
  </si>
  <si>
    <r>
      <rPr>
        <sz val="10"/>
        <color rgb="FF000000"/>
        <rFont val="宋体"/>
        <charset val="134"/>
      </rPr>
      <t>槲皮素</t>
    </r>
  </si>
  <si>
    <t>117-39-5</t>
  </si>
  <si>
    <r>
      <rPr>
        <sz val="10"/>
        <color rgb="FF000000"/>
        <rFont val="Times New Roman"/>
        <charset val="134"/>
      </rPr>
      <t>7-</t>
    </r>
    <r>
      <rPr>
        <sz val="10"/>
        <color rgb="FF000000"/>
        <rFont val="宋体"/>
        <charset val="134"/>
      </rPr>
      <t>硝基吲哚</t>
    </r>
  </si>
  <si>
    <t>6960-42-5</t>
  </si>
  <si>
    <r>
      <rPr>
        <sz val="9.75"/>
        <color rgb="FF000000"/>
        <rFont val="宋体"/>
        <charset val="134"/>
      </rPr>
      <t>橙皮甙</t>
    </r>
  </si>
  <si>
    <r>
      <rPr>
        <sz val="10"/>
        <color rgb="FF000000"/>
        <rFont val="宋体"/>
        <charset val="134"/>
      </rPr>
      <t>叔丁基过氧化氢</t>
    </r>
  </si>
  <si>
    <t>75-91-2</t>
  </si>
  <si>
    <t>C4H10O2</t>
  </si>
  <si>
    <r>
      <rPr>
        <sz val="10"/>
        <color rgb="FF000000"/>
        <rFont val="宋体"/>
        <charset val="134"/>
      </rPr>
      <t>海藻酸钠</t>
    </r>
  </si>
  <si>
    <t>9005-38-3</t>
  </si>
  <si>
    <t>C5H7O4COONa</t>
  </si>
  <si>
    <r>
      <rPr>
        <sz val="9.75"/>
        <color rgb="FF000000"/>
        <rFont val="Times New Roman"/>
        <charset val="134"/>
      </rPr>
      <t>2,2-</t>
    </r>
    <r>
      <rPr>
        <sz val="9.75"/>
        <color rgb="FF000000"/>
        <rFont val="宋体"/>
        <charset val="134"/>
      </rPr>
      <t>联苯基</t>
    </r>
    <r>
      <rPr>
        <sz val="9.75"/>
        <color rgb="FF000000"/>
        <rFont val="Times New Roman"/>
        <charset val="134"/>
      </rPr>
      <t>-1-</t>
    </r>
    <r>
      <rPr>
        <sz val="9.75"/>
        <color rgb="FF000000"/>
        <rFont val="宋体"/>
        <charset val="134"/>
      </rPr>
      <t>苦基肼基</t>
    </r>
  </si>
  <si>
    <r>
      <rPr>
        <sz val="10"/>
        <color rgb="FF000000"/>
        <rFont val="Times New Roman"/>
        <charset val="134"/>
      </rPr>
      <t>4-</t>
    </r>
    <r>
      <rPr>
        <sz val="10"/>
        <color rgb="FF000000"/>
        <rFont val="宋体"/>
        <charset val="134"/>
      </rPr>
      <t>氯溴苄</t>
    </r>
  </si>
  <si>
    <t>622-95-7</t>
  </si>
  <si>
    <t>2-氟硝基苯</t>
  </si>
  <si>
    <t>1493-27-2</t>
  </si>
  <si>
    <t>201冰箱四层</t>
  </si>
  <si>
    <t>2-巯基噻唑啉</t>
  </si>
  <si>
    <t>96-53-7</t>
  </si>
  <si>
    <t>其他有机试剂</t>
  </si>
  <si>
    <t>215吴佳凯柜</t>
  </si>
  <si>
    <t>2-巯基-1-甲基咪唑</t>
  </si>
  <si>
    <t>60-56-0</t>
  </si>
  <si>
    <t>罗丹宁</t>
  </si>
  <si>
    <t>141-84-4</t>
  </si>
  <si>
    <t>二茂铁</t>
  </si>
  <si>
    <t>215木柜下</t>
  </si>
  <si>
    <t>1，10-菲啰啉</t>
  </si>
  <si>
    <t>66-71-7</t>
  </si>
  <si>
    <t>215铁柜</t>
  </si>
  <si>
    <t>TBD</t>
  </si>
  <si>
    <t>羟乙基尿素</t>
  </si>
  <si>
    <t>2078-71-9</t>
  </si>
  <si>
    <t>201冰箱</t>
  </si>
  <si>
    <t>N’-亚苄基-4-甲基苯磺酰肼</t>
  </si>
  <si>
    <t>1666-17-7</t>
  </si>
  <si>
    <t>201冰箱一层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</si>
  <si>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溴</t>
    </r>
    <r>
      <rPr>
        <sz val="10"/>
        <color rgb="FF000000"/>
        <rFont val="Times New Roman"/>
        <charset val="0"/>
      </rPr>
      <t>-1-</t>
    </r>
    <r>
      <rPr>
        <sz val="10"/>
        <color rgb="FF000000"/>
        <rFont val="宋体"/>
        <charset val="134"/>
      </rPr>
      <t>碘</t>
    </r>
    <r>
      <rPr>
        <sz val="10"/>
        <color rgb="FF000000"/>
        <rFont val="Times New Roman"/>
        <charset val="0"/>
      </rPr>
      <t>-2-</t>
    </r>
    <r>
      <rPr>
        <sz val="10"/>
        <color rgb="FF000000"/>
        <rFont val="宋体"/>
        <charset val="134"/>
      </rPr>
      <t>硝基苯</t>
    </r>
  </si>
  <si>
    <t>112671-42-8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</si>
  <si>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氯</t>
    </r>
    <r>
      <rPr>
        <sz val="10"/>
        <color rgb="FF000000"/>
        <rFont val="Times New Roman"/>
        <charset val="0"/>
      </rPr>
      <t>-1-</t>
    </r>
    <r>
      <rPr>
        <sz val="10"/>
        <color rgb="FF000000"/>
        <rFont val="宋体"/>
        <charset val="134"/>
      </rPr>
      <t>碘</t>
    </r>
    <r>
      <rPr>
        <sz val="10"/>
        <color rgb="FF000000"/>
        <rFont val="Times New Roman"/>
        <charset val="0"/>
      </rPr>
      <t>-2-</t>
    </r>
    <r>
      <rPr>
        <sz val="10"/>
        <color rgb="FF000000"/>
        <rFont val="宋体"/>
        <charset val="134"/>
      </rPr>
      <t>硝基苯</t>
    </r>
  </si>
  <si>
    <t>5446-05-9</t>
  </si>
  <si>
    <r>
      <rPr>
        <sz val="10"/>
        <color rgb="FF000000"/>
        <rFont val="Times New Roman"/>
        <charset val="0"/>
      </rPr>
      <t>1,3,5-</t>
    </r>
    <r>
      <rPr>
        <sz val="10"/>
        <color rgb="FF000000"/>
        <rFont val="宋体"/>
        <charset val="134"/>
      </rPr>
      <t>三溴苯</t>
    </r>
  </si>
  <si>
    <t>626-39-1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</si>
  <si>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0"/>
      </rPr>
      <t>-3-</t>
    </r>
    <r>
      <rPr>
        <sz val="10"/>
        <color rgb="FF000000"/>
        <rFont val="宋体"/>
        <charset val="134"/>
      </rPr>
      <t>碘三氟甲苯</t>
    </r>
  </si>
  <si>
    <t>163444-17-5</t>
  </si>
  <si>
    <r>
      <rPr>
        <sz val="10"/>
        <color rgb="FF000000"/>
        <rFont val="Times New Roman"/>
        <charset val="0"/>
      </rPr>
      <t>1-</t>
    </r>
    <r>
      <rPr>
        <sz val="10"/>
        <color rgb="FF000000"/>
        <rFont val="宋体"/>
        <charset val="134"/>
      </rPr>
      <t>溴</t>
    </r>
    <r>
      <rPr>
        <sz val="10"/>
        <color rgb="FF000000"/>
        <rFont val="Times New Roman"/>
        <charset val="0"/>
      </rPr>
      <t>-4-</t>
    </r>
    <r>
      <rPr>
        <sz val="10"/>
        <color rgb="FF000000"/>
        <rFont val="宋体"/>
        <charset val="134"/>
      </rPr>
      <t>乙炔苯</t>
    </r>
  </si>
  <si>
    <t>766-96-1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</si>
  <si>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0"/>
      </rPr>
      <t>-3-</t>
    </r>
    <r>
      <rPr>
        <sz val="10"/>
        <color rgb="FF000000"/>
        <rFont val="宋体"/>
        <charset val="134"/>
      </rPr>
      <t>碘吡啶</t>
    </r>
  </si>
  <si>
    <t>104830-06-0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</si>
  <si>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巯基吡啶</t>
    </r>
  </si>
  <si>
    <t>4556-23-4</t>
  </si>
  <si>
    <t>吡咯烷</t>
  </si>
  <si>
    <t>123-75-1</t>
  </si>
  <si>
    <r>
      <rPr>
        <sz val="10"/>
        <color rgb="FF000000"/>
        <rFont val="宋体"/>
        <charset val="0"/>
      </rPr>
      <t>三</t>
    </r>
    <r>
      <rPr>
        <sz val="10"/>
        <color rgb="FF000000"/>
        <rFont val="Times New Roman"/>
        <charset val="0"/>
      </rPr>
      <t>(</t>
    </r>
    <r>
      <rPr>
        <sz val="10"/>
        <color rgb="FF000000"/>
        <rFont val="宋体"/>
        <charset val="134"/>
      </rPr>
      <t>五氟苯基</t>
    </r>
    <r>
      <rPr>
        <sz val="10"/>
        <color rgb="FF000000"/>
        <rFont val="Times New Roman"/>
        <charset val="0"/>
      </rPr>
      <t>)</t>
    </r>
    <r>
      <rPr>
        <sz val="10"/>
        <color rgb="FF000000"/>
        <rFont val="宋体"/>
        <charset val="134"/>
      </rPr>
      <t>硼烷</t>
    </r>
  </si>
  <si>
    <t>1109-15-5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</si>
  <si>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甲氧基</t>
    </r>
    <r>
      <rPr>
        <sz val="10"/>
        <color rgb="FF000000"/>
        <rFont val="Times New Roman"/>
        <charset val="0"/>
      </rPr>
      <t>-1,3-</t>
    </r>
    <r>
      <rPr>
        <sz val="10"/>
        <color rgb="FF000000"/>
        <rFont val="宋体"/>
        <charset val="134"/>
      </rPr>
      <t>二恶茂烷</t>
    </r>
  </si>
  <si>
    <t>19693-75-5</t>
  </si>
  <si>
    <r>
      <rPr>
        <sz val="10"/>
        <color rgb="FF000000"/>
        <rFont val="Times New Roman"/>
        <charset val="0"/>
      </rPr>
      <t>9-</t>
    </r>
    <r>
      <rPr>
        <sz val="10"/>
        <color rgb="FF000000"/>
        <rFont val="宋体"/>
        <charset val="134"/>
      </rPr>
      <t>硼双环（</t>
    </r>
    <r>
      <rPr>
        <sz val="10"/>
        <color rgb="FF000000"/>
        <rFont val="Times New Roman"/>
        <charset val="0"/>
      </rPr>
      <t>3.3’.1</t>
    </r>
    <r>
      <rPr>
        <sz val="10"/>
        <color rgb="FF000000"/>
        <rFont val="宋体"/>
        <charset val="134"/>
      </rPr>
      <t>）壬烷</t>
    </r>
  </si>
  <si>
    <t>280-64-8</t>
  </si>
  <si>
    <r>
      <rPr>
        <sz val="10"/>
        <color rgb="FF000000"/>
        <rFont val="Times New Roman"/>
        <charset val="0"/>
      </rPr>
      <t>3-</t>
    </r>
    <r>
      <rPr>
        <sz val="10"/>
        <color rgb="FF000000"/>
        <rFont val="宋体"/>
        <charset val="134"/>
      </rPr>
      <t>乙酰基吡啶</t>
    </r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</si>
  <si>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炔基吡啶</t>
    </r>
  </si>
  <si>
    <t>1945-84-2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</si>
  <si>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乙酰吡啶</t>
    </r>
  </si>
  <si>
    <t>1122-54-9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</si>
  <si>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乙酰吡啶</t>
    </r>
  </si>
  <si>
    <r>
      <rPr>
        <sz val="10"/>
        <color rgb="FF000000"/>
        <rFont val="Times New Roman"/>
        <charset val="0"/>
      </rPr>
      <t>2,2,6,6-</t>
    </r>
    <r>
      <rPr>
        <sz val="10"/>
        <color rgb="FF000000"/>
        <rFont val="宋体"/>
        <charset val="134"/>
      </rPr>
      <t>四甲基哌啶氧化物</t>
    </r>
  </si>
  <si>
    <t>2564-83-2</t>
  </si>
  <si>
    <t>劳森试剂</t>
  </si>
  <si>
    <t>19172-47-5</t>
  </si>
  <si>
    <r>
      <rPr>
        <sz val="10"/>
        <color rgb="FF000000"/>
        <rFont val="Times New Roman"/>
        <charset val="0"/>
      </rPr>
      <t>216</t>
    </r>
    <r>
      <rPr>
        <sz val="10"/>
        <color rgb="FF000000"/>
        <rFont val="宋体"/>
        <charset val="0"/>
      </rPr>
      <t>冰箱二层</t>
    </r>
  </si>
  <si>
    <t>三乙基硼</t>
  </si>
  <si>
    <t>97-94-9</t>
  </si>
  <si>
    <t>三聚氯氰</t>
  </si>
  <si>
    <t>108-77-0</t>
  </si>
  <si>
    <t>氯化血红素</t>
  </si>
  <si>
    <t>16009-13-5</t>
  </si>
  <si>
    <t>氧化苯乙烯</t>
  </si>
  <si>
    <t>正丁基锂</t>
  </si>
  <si>
    <t>109-72-8</t>
  </si>
  <si>
    <t>0.5mol</t>
  </si>
  <si>
    <t>0.2mol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</si>
  <si>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巯基吡啶</t>
    </r>
    <r>
      <rPr>
        <sz val="10"/>
        <color rgb="FF000000"/>
        <rFont val="Times New Roman"/>
        <charset val="0"/>
      </rPr>
      <t>-N-</t>
    </r>
    <r>
      <rPr>
        <sz val="10"/>
        <color rgb="FF000000"/>
        <rFont val="宋体"/>
        <charset val="134"/>
      </rPr>
      <t>氧化物</t>
    </r>
  </si>
  <si>
    <t>1121-31-9</t>
  </si>
  <si>
    <r>
      <rPr>
        <sz val="10"/>
        <color rgb="FF000000"/>
        <rFont val="Times New Roman"/>
        <charset val="0"/>
      </rPr>
      <t>1,1,3,3-</t>
    </r>
    <r>
      <rPr>
        <sz val="10"/>
        <color rgb="FF000000"/>
        <rFont val="宋体"/>
        <charset val="134"/>
      </rPr>
      <t>四甲基胍</t>
    </r>
  </si>
  <si>
    <t>80-70-6</t>
  </si>
  <si>
    <t>香兰素</t>
  </si>
  <si>
    <t>121-33-5</t>
  </si>
  <si>
    <r>
      <rPr>
        <sz val="10"/>
        <color rgb="FF000000"/>
        <rFont val="Times New Roman"/>
        <charset val="0"/>
      </rPr>
      <t>3,4-</t>
    </r>
    <r>
      <rPr>
        <sz val="10"/>
        <color rgb="FF000000"/>
        <rFont val="宋体"/>
        <charset val="134"/>
      </rPr>
      <t>二氨基三氟甲苯</t>
    </r>
  </si>
  <si>
    <r>
      <rPr>
        <sz val="10"/>
        <color rgb="FF000000"/>
        <rFont val="Times New Roman"/>
        <charset val="0"/>
      </rPr>
      <t>2,3-</t>
    </r>
    <r>
      <rPr>
        <sz val="10"/>
        <color rgb="FF000000"/>
        <rFont val="宋体"/>
        <charset val="134"/>
      </rPr>
      <t>二氨基吡啶</t>
    </r>
  </si>
  <si>
    <t>452-58-4</t>
  </si>
  <si>
    <r>
      <rPr>
        <sz val="10"/>
        <color rgb="FF000000"/>
        <rFont val="Times New Roman"/>
        <charset val="0"/>
      </rPr>
      <t>3,4-</t>
    </r>
    <r>
      <rPr>
        <sz val="10"/>
        <color rgb="FF000000"/>
        <rFont val="宋体"/>
        <charset val="134"/>
      </rPr>
      <t>二氨基甲苯</t>
    </r>
  </si>
  <si>
    <t>阿托伐他汀钙</t>
  </si>
  <si>
    <t>134523-03-8</t>
  </si>
  <si>
    <t>三氯硅烷</t>
  </si>
  <si>
    <t>10025-78-2</t>
  </si>
  <si>
    <t>1,4二氯苯</t>
  </si>
  <si>
    <t>106-46-7</t>
  </si>
  <si>
    <t>1,8-二氮杂双环[5.4.0]十一碳-7-烯(DBU)哈哈</t>
  </si>
  <si>
    <t>6674-22-2</t>
  </si>
  <si>
    <t>1-甲基吡咯烷-2-硫酮</t>
  </si>
  <si>
    <t>10441-57-3</t>
  </si>
  <si>
    <t>2-碘吡啶</t>
  </si>
  <si>
    <t>5029-67-4</t>
  </si>
  <si>
    <t>4-碘甲苯</t>
  </si>
  <si>
    <t>624-31-7</t>
  </si>
  <si>
    <t>202冰箱四层</t>
  </si>
  <si>
    <t>4-碘苯甲醚</t>
  </si>
  <si>
    <t>696-62-8</t>
  </si>
  <si>
    <t>203冰箱四层</t>
  </si>
  <si>
    <t>4-氯碘苯</t>
  </si>
  <si>
    <t>637-87-6</t>
  </si>
  <si>
    <t>204冰箱四层</t>
  </si>
  <si>
    <t>1,4-二碘苯</t>
  </si>
  <si>
    <t>624-38-4</t>
  </si>
  <si>
    <t>205冰箱四层</t>
  </si>
  <si>
    <t>2-碘代乙基苯</t>
  </si>
  <si>
    <t>17376-04-4</t>
  </si>
  <si>
    <t>206冰箱四层</t>
  </si>
  <si>
    <t>4-碘三氟甲苯</t>
  </si>
  <si>
    <t>455-13-0</t>
  </si>
  <si>
    <t>207冰箱四层</t>
  </si>
  <si>
    <t>1-碘萘</t>
  </si>
  <si>
    <t>90-14-2</t>
  </si>
  <si>
    <t>208冰箱四层</t>
  </si>
  <si>
    <t>3-碘噻吩</t>
  </si>
  <si>
    <t>10486-61-0</t>
  </si>
  <si>
    <t>209冰箱四层</t>
  </si>
  <si>
    <t>210冰箱四层</t>
  </si>
  <si>
    <t>1-氨基-3-丁炔</t>
  </si>
  <si>
    <t>14044-63-4</t>
  </si>
  <si>
    <t>211冰箱四层</t>
  </si>
  <si>
    <r>
      <rPr>
        <sz val="10"/>
        <color rgb="FF000000"/>
        <rFont val="宋体"/>
        <charset val="134"/>
      </rPr>
      <t>苯甲醛</t>
    </r>
  </si>
  <si>
    <t>100-52-7</t>
  </si>
  <si>
    <r>
      <rPr>
        <sz val="10"/>
        <color rgb="FF000000"/>
        <rFont val="宋体"/>
        <charset val="134"/>
      </rPr>
      <t>醛类</t>
    </r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</si>
  <si>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溴苯甲醛</t>
    </r>
  </si>
  <si>
    <t>6630-33-7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</si>
  <si>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左</t>
    </r>
  </si>
  <si>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溴苯甲醛</t>
    </r>
  </si>
  <si>
    <t>3132-99-8</t>
  </si>
  <si>
    <r>
      <rPr>
        <sz val="10"/>
        <color theme="1"/>
        <rFont val="宋体"/>
        <charset val="134"/>
      </rPr>
      <t>水杨醛</t>
    </r>
  </si>
  <si>
    <r>
      <rPr>
        <sz val="10"/>
        <color theme="1"/>
        <rFont val="宋体"/>
        <charset val="134"/>
      </rPr>
      <t>茴香醛</t>
    </r>
  </si>
  <si>
    <t>123-11-5</t>
  </si>
  <si>
    <r>
      <rPr>
        <sz val="10"/>
        <rFont val="宋体"/>
        <charset val="134"/>
      </rPr>
      <t>苯甲醛</t>
    </r>
  </si>
  <si>
    <r>
      <rPr>
        <sz val="10"/>
        <color theme="1"/>
        <rFont val="宋体"/>
        <charset val="134"/>
      </rPr>
      <t>苯乙醛</t>
    </r>
  </si>
  <si>
    <t>122-78-1</t>
  </si>
  <si>
    <r>
      <rPr>
        <sz val="10"/>
        <color theme="1"/>
        <rFont val="Times New Roman"/>
        <charset val="134"/>
      </rPr>
      <t>98%</t>
    </r>
    <r>
      <rPr>
        <sz val="10"/>
        <color theme="1"/>
        <rFont val="宋体"/>
        <charset val="134"/>
      </rPr>
      <t>（含</t>
    </r>
    <r>
      <rPr>
        <sz val="10"/>
        <color theme="1"/>
        <rFont val="Times New Roman"/>
        <charset val="134"/>
      </rPr>
      <t>0.01%</t>
    </r>
    <r>
      <rPr>
        <sz val="10"/>
        <color theme="1"/>
        <rFont val="宋体"/>
        <charset val="134"/>
      </rPr>
      <t>）柠檬酸稳定</t>
    </r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</si>
  <si>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氯</t>
    </r>
    <r>
      <rPr>
        <sz val="10"/>
        <color theme="1"/>
        <rFont val="Times New Roman"/>
        <charset val="134"/>
      </rPr>
      <t>-6-</t>
    </r>
    <r>
      <rPr>
        <sz val="10"/>
        <color theme="1"/>
        <rFont val="宋体"/>
        <charset val="134"/>
      </rPr>
      <t>硝基苯甲醛</t>
    </r>
  </si>
  <si>
    <t>6361-22-4</t>
  </si>
  <si>
    <r>
      <rPr>
        <sz val="10"/>
        <color theme="1"/>
        <rFont val="宋体"/>
        <charset val="134"/>
      </rPr>
      <t>对氯苯甲醛</t>
    </r>
  </si>
  <si>
    <t>104-88-1</t>
  </si>
  <si>
    <r>
      <rPr>
        <sz val="10"/>
        <rFont val="宋体"/>
        <charset val="134"/>
      </rPr>
      <t>对氯苯甲醛</t>
    </r>
  </si>
  <si>
    <t>203-247-4</t>
  </si>
  <si>
    <r>
      <rPr>
        <sz val="10"/>
        <color theme="1"/>
        <rFont val="宋体"/>
        <charset val="134"/>
      </rPr>
      <t>对溴苯甲醛</t>
    </r>
  </si>
  <si>
    <t>1122-91-4</t>
  </si>
  <si>
    <r>
      <rPr>
        <sz val="10"/>
        <color theme="1"/>
        <rFont val="宋体"/>
        <charset val="134"/>
      </rPr>
      <t>对羟基苯甲醛</t>
    </r>
  </si>
  <si>
    <t>123-08-0</t>
  </si>
  <si>
    <r>
      <rPr>
        <sz val="10"/>
        <color theme="1"/>
        <rFont val="宋体"/>
        <charset val="134"/>
      </rPr>
      <t>对甲基苯甲醛</t>
    </r>
  </si>
  <si>
    <t>104-87-0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</si>
  <si>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氰基苯甲醛</t>
    </r>
  </si>
  <si>
    <t>105-07-0</t>
  </si>
  <si>
    <r>
      <rPr>
        <sz val="10"/>
        <color rgb="FF000000"/>
        <rFont val="Times New Roman"/>
        <charset val="134"/>
      </rPr>
      <t>3-4</t>
    </r>
    <r>
      <rPr>
        <sz val="10"/>
        <color rgb="FF000000"/>
        <rFont val="宋体"/>
        <charset val="134"/>
      </rPr>
      <t>二甲基苯甲醛</t>
    </r>
  </si>
  <si>
    <t>5973-71-7</t>
  </si>
  <si>
    <r>
      <rPr>
        <sz val="10"/>
        <color rgb="FF000000"/>
        <rFont val="Times New Roman"/>
        <charset val="134"/>
      </rPr>
      <t>1-</t>
    </r>
    <r>
      <rPr>
        <sz val="10"/>
        <color rgb="FF000000"/>
        <rFont val="宋体"/>
        <charset val="134"/>
      </rPr>
      <t>丁醛</t>
    </r>
  </si>
  <si>
    <t>123-72-8</t>
  </si>
  <si>
    <r>
      <rPr>
        <sz val="10"/>
        <color rgb="FF000000"/>
        <rFont val="宋体"/>
        <charset val="134"/>
      </rPr>
      <t>癸醛</t>
    </r>
  </si>
  <si>
    <t>112-31-2</t>
  </si>
  <si>
    <r>
      <rPr>
        <sz val="10"/>
        <color rgb="FF000000"/>
        <rFont val="Times New Roman"/>
        <charset val="134"/>
      </rPr>
      <t>3-</t>
    </r>
    <r>
      <rPr>
        <sz val="10"/>
        <color rgb="FF000000"/>
        <rFont val="宋体"/>
        <charset val="134"/>
      </rPr>
      <t>噻吩甲醛</t>
    </r>
  </si>
  <si>
    <t>498-62-4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</si>
  <si>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苯乙硫醇</t>
    </r>
  </si>
  <si>
    <t>4410-99-5</t>
  </si>
  <si>
    <r>
      <rPr>
        <sz val="10"/>
        <color theme="1"/>
        <rFont val="Times New Roman"/>
        <charset val="134"/>
      </rPr>
      <t>5-</t>
    </r>
    <r>
      <rPr>
        <sz val="10"/>
        <color theme="1"/>
        <rFont val="宋体"/>
        <charset val="134"/>
      </rPr>
      <t>甲基糠醛</t>
    </r>
  </si>
  <si>
    <t>620-02-0</t>
  </si>
  <si>
    <r>
      <rPr>
        <sz val="10"/>
        <color theme="1"/>
        <rFont val="宋体"/>
        <charset val="134"/>
      </rPr>
      <t>吡啶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甲醛</t>
    </r>
  </si>
  <si>
    <t>1121-60-4</t>
  </si>
  <si>
    <r>
      <rPr>
        <sz val="9.75"/>
        <color rgb="FF000000"/>
        <rFont val="宋体"/>
        <charset val="134"/>
      </rPr>
      <t>对二甲胺基苯甲醛</t>
    </r>
  </si>
  <si>
    <t>100-10-7</t>
  </si>
  <si>
    <r>
      <rPr>
        <sz val="10"/>
        <color rgb="FF000000"/>
        <rFont val="Times New Roman"/>
        <charset val="134"/>
      </rPr>
      <t>N-</t>
    </r>
    <r>
      <rPr>
        <sz val="10"/>
        <color rgb="FF000000"/>
        <rFont val="宋体"/>
        <charset val="134"/>
      </rPr>
      <t>甲基</t>
    </r>
    <r>
      <rPr>
        <sz val="10"/>
        <color rgb="FF000000"/>
        <rFont val="Times New Roman"/>
        <charset val="134"/>
      </rPr>
      <t>-2-</t>
    </r>
    <r>
      <rPr>
        <sz val="10"/>
        <color rgb="FF000000"/>
        <rFont val="宋体"/>
        <charset val="134"/>
      </rPr>
      <t>吡咯甲醛</t>
    </r>
  </si>
  <si>
    <t>1192-58-1</t>
  </si>
  <si>
    <r>
      <rPr>
        <sz val="10"/>
        <color theme="1"/>
        <rFont val="宋体"/>
        <charset val="134"/>
      </rPr>
      <t>吡咯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甲醛</t>
    </r>
  </si>
  <si>
    <t>1003-29-8</t>
  </si>
  <si>
    <r>
      <rPr>
        <sz val="10"/>
        <color theme="1"/>
        <rFont val="宋体"/>
        <charset val="134"/>
      </rPr>
      <t>二茂铁甲醛</t>
    </r>
  </si>
  <si>
    <t>12093-10-6</t>
  </si>
  <si>
    <r>
      <rPr>
        <sz val="10"/>
        <color theme="1"/>
        <rFont val="Times New Roman"/>
        <charset val="134"/>
      </rPr>
      <t>3,5-</t>
    </r>
    <r>
      <rPr>
        <sz val="10"/>
        <color theme="1"/>
        <rFont val="宋体"/>
        <charset val="134"/>
      </rPr>
      <t>二甲基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吡咯甲醛</t>
    </r>
  </si>
  <si>
    <t>2199-58-8</t>
  </si>
  <si>
    <r>
      <rPr>
        <sz val="10"/>
        <color theme="1"/>
        <rFont val="Times New Roman"/>
        <charset val="134"/>
      </rPr>
      <t>5-</t>
    </r>
    <r>
      <rPr>
        <sz val="10"/>
        <color theme="1"/>
        <rFont val="宋体"/>
        <charset val="134"/>
      </rPr>
      <t>甲基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噻吩甲醛</t>
    </r>
  </si>
  <si>
    <t>13679-70-4</t>
  </si>
  <si>
    <r>
      <rPr>
        <sz val="10"/>
        <color theme="1"/>
        <rFont val="宋体"/>
        <charset val="134"/>
      </rPr>
      <t>糠醛</t>
    </r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</si>
  <si>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甲氧基苯甲醛</t>
    </r>
  </si>
  <si>
    <r>
      <rPr>
        <sz val="10"/>
        <color rgb="FF000000"/>
        <rFont val="宋体"/>
        <charset val="134"/>
      </rPr>
      <t>二苯基乙炔</t>
    </r>
  </si>
  <si>
    <t>501-65-5</t>
  </si>
  <si>
    <t>&gt;99.5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</si>
  <si>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噻吩甲醛</t>
    </r>
  </si>
  <si>
    <r>
      <rPr>
        <sz val="10"/>
        <color theme="1"/>
        <rFont val="宋体"/>
        <charset val="134"/>
      </rPr>
      <t>噻吩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甲醛</t>
    </r>
  </si>
  <si>
    <r>
      <rPr>
        <sz val="10"/>
        <color rgb="FF000000"/>
        <rFont val="Times New Roman"/>
        <charset val="134"/>
      </rPr>
      <t>4-</t>
    </r>
    <r>
      <rPr>
        <sz val="10"/>
        <color rgb="FF000000"/>
        <rFont val="宋体"/>
        <charset val="134"/>
      </rPr>
      <t>（</t>
    </r>
    <r>
      <rPr>
        <sz val="10"/>
        <color rgb="FF000000"/>
        <rFont val="Times New Roman"/>
        <charset val="134"/>
      </rPr>
      <t>N</t>
    </r>
    <r>
      <rPr>
        <sz val="10"/>
        <color rgb="FF000000"/>
        <rFont val="宋体"/>
        <charset val="134"/>
      </rPr>
      <t>，</t>
    </r>
    <r>
      <rPr>
        <sz val="10"/>
        <color rgb="FF000000"/>
        <rFont val="Times New Roman"/>
        <charset val="134"/>
      </rPr>
      <t>N-</t>
    </r>
    <r>
      <rPr>
        <sz val="10"/>
        <color rgb="FF000000"/>
        <rFont val="宋体"/>
        <charset val="134"/>
      </rPr>
      <t>二乙基）氨基苯甲醛</t>
    </r>
  </si>
  <si>
    <t>120-21-8</t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</si>
  <si>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碘苯甲醛</t>
    </r>
  </si>
  <si>
    <t>26260-02-6</t>
  </si>
  <si>
    <r>
      <rPr>
        <sz val="10"/>
        <color rgb="FF000000"/>
        <rFont val="Times New Roman"/>
        <charset val="134"/>
      </rPr>
      <t>2-</t>
    </r>
    <r>
      <rPr>
        <sz val="10"/>
        <color rgb="FF000000"/>
        <rFont val="宋体"/>
        <charset val="134"/>
      </rPr>
      <t>氟苯甲醛</t>
    </r>
  </si>
  <si>
    <t>446-52-6</t>
  </si>
  <si>
    <t>苯乙醛</t>
  </si>
  <si>
    <t>醛类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</si>
  <si>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二甲氨基苯甲醛</t>
    </r>
  </si>
  <si>
    <r>
      <rPr>
        <sz val="10"/>
        <color rgb="FF000000"/>
        <rFont val="Times New Roman"/>
        <charset val="0"/>
      </rPr>
      <t>1-</t>
    </r>
    <r>
      <rPr>
        <sz val="10"/>
        <color rgb="FF000000"/>
        <rFont val="宋体"/>
        <charset val="134"/>
      </rPr>
      <t>甲基吡咯</t>
    </r>
    <r>
      <rPr>
        <sz val="10"/>
        <color rgb="FF000000"/>
        <rFont val="Times New Roman"/>
        <charset val="0"/>
      </rPr>
      <t>-2-</t>
    </r>
    <r>
      <rPr>
        <sz val="10"/>
        <color rgb="FF000000"/>
        <rFont val="宋体"/>
        <charset val="134"/>
      </rPr>
      <t>甲醛</t>
    </r>
  </si>
  <si>
    <t>香草醛</t>
  </si>
  <si>
    <t>99%+</t>
  </si>
  <si>
    <t>乙醛</t>
  </si>
  <si>
    <t>75-07-0</t>
  </si>
  <si>
    <t>二茂铁甲醛</t>
  </si>
  <si>
    <t>水杨醛</t>
  </si>
  <si>
    <t>90-02-8</t>
  </si>
  <si>
    <t>柠檬醛</t>
  </si>
  <si>
    <t>5392-40-5</t>
  </si>
  <si>
    <t>多聚甲醛</t>
  </si>
  <si>
    <t>30525-89-4</t>
  </si>
  <si>
    <t>间硝基苯甲醛</t>
  </si>
  <si>
    <t>99-61-6</t>
  </si>
  <si>
    <t>苯乙炔</t>
  </si>
  <si>
    <t>536-74-3</t>
  </si>
  <si>
    <t>炔烃类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</si>
  <si>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甲苯基乙炔</t>
    </r>
  </si>
  <si>
    <t>二苯基乙炔</t>
  </si>
  <si>
    <r>
      <rPr>
        <sz val="10"/>
        <color rgb="FF000000"/>
        <rFont val="宋体"/>
        <charset val="134"/>
      </rPr>
      <t>水杨酸</t>
    </r>
  </si>
  <si>
    <t>69-72-7</t>
  </si>
  <si>
    <r>
      <rPr>
        <sz val="10"/>
        <color rgb="FF000000"/>
        <rFont val="宋体"/>
        <charset val="134"/>
      </rPr>
      <t>酸类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</si>
  <si>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4</t>
    </r>
    <r>
      <rPr>
        <sz val="10"/>
        <color rgb="FF000000"/>
        <rFont val="宋体"/>
        <charset val="134"/>
      </rPr>
      <t>中</t>
    </r>
  </si>
  <si>
    <r>
      <rPr>
        <sz val="10"/>
        <color theme="1"/>
        <rFont val="宋体"/>
        <charset val="134"/>
      </rPr>
      <t>苯硼酸</t>
    </r>
  </si>
  <si>
    <t>98-80-6</t>
  </si>
  <si>
    <r>
      <rPr>
        <sz val="10"/>
        <color indexed="8"/>
        <rFont val="Times New Roman"/>
        <charset val="134"/>
      </rPr>
      <t>215</t>
    </r>
    <r>
      <rPr>
        <sz val="10"/>
        <color indexed="8"/>
        <rFont val="宋体"/>
        <charset val="134"/>
      </rPr>
      <t>木柜上四层中</t>
    </r>
  </si>
  <si>
    <r>
      <rPr>
        <sz val="10"/>
        <color theme="1"/>
        <rFont val="宋体"/>
        <charset val="134"/>
      </rPr>
      <t>苯甲酸</t>
    </r>
  </si>
  <si>
    <r>
      <rPr>
        <sz val="10"/>
        <color theme="1"/>
        <rFont val="宋体"/>
        <charset val="134"/>
      </rPr>
      <t>对硝基苯甲酸</t>
    </r>
  </si>
  <si>
    <t>62-23-7</t>
  </si>
  <si>
    <r>
      <rPr>
        <sz val="10"/>
        <color theme="1"/>
        <rFont val="宋体"/>
        <charset val="134"/>
      </rPr>
      <t>马尿酸</t>
    </r>
  </si>
  <si>
    <t>02-55-07-26</t>
  </si>
  <si>
    <r>
      <rPr>
        <sz val="10"/>
        <color theme="1"/>
        <rFont val="宋体"/>
        <charset val="134"/>
      </rPr>
      <t>三氟乙酸</t>
    </r>
  </si>
  <si>
    <t>76-05-1</t>
  </si>
  <si>
    <r>
      <rPr>
        <sz val="10"/>
        <color theme="1"/>
        <rFont val="宋体"/>
        <charset val="134"/>
      </rPr>
      <t>柠檬酸</t>
    </r>
  </si>
  <si>
    <t>77-92-9</t>
  </si>
  <si>
    <r>
      <rPr>
        <sz val="10"/>
        <color theme="1"/>
        <rFont val="Times New Roman"/>
        <charset val="134"/>
      </rPr>
      <t>3,5-</t>
    </r>
    <r>
      <rPr>
        <sz val="10"/>
        <color theme="1"/>
        <rFont val="宋体"/>
        <charset val="134"/>
      </rPr>
      <t>二硝基水杨酸</t>
    </r>
  </si>
  <si>
    <t>609-99-4</t>
  </si>
  <si>
    <r>
      <rPr>
        <sz val="10"/>
        <color theme="1"/>
        <rFont val="Times New Roman"/>
        <charset val="134"/>
      </rPr>
      <t>5-</t>
    </r>
    <r>
      <rPr>
        <sz val="10"/>
        <color theme="1"/>
        <rFont val="宋体"/>
        <charset val="134"/>
      </rPr>
      <t>磺基水杨酸</t>
    </r>
  </si>
  <si>
    <t>5965-83-3</t>
  </si>
  <si>
    <r>
      <rPr>
        <sz val="10"/>
        <color theme="1"/>
        <rFont val="宋体"/>
        <charset val="134"/>
      </rPr>
      <t>对甲苯磺酸</t>
    </r>
  </si>
  <si>
    <t>104-15-4</t>
  </si>
  <si>
    <r>
      <rPr>
        <sz val="10"/>
        <color theme="1"/>
        <rFont val="宋体"/>
        <charset val="134"/>
      </rPr>
      <t>肉桂酸</t>
    </r>
  </si>
  <si>
    <t>140-103</t>
  </si>
  <si>
    <r>
      <rPr>
        <sz val="10"/>
        <color theme="1"/>
        <rFont val="宋体"/>
        <charset val="134"/>
      </rPr>
      <t>间硝基苯甲酸</t>
    </r>
  </si>
  <si>
    <t>121-92-6</t>
  </si>
  <si>
    <r>
      <rPr>
        <sz val="10"/>
        <color theme="1"/>
        <rFont val="Times New Roman"/>
        <charset val="134"/>
      </rPr>
      <t>25</t>
    </r>
    <r>
      <rPr>
        <sz val="10"/>
        <color theme="1"/>
        <rFont val="宋体"/>
        <charset val="134"/>
      </rPr>
      <t>公分</t>
    </r>
  </si>
  <si>
    <r>
      <rPr>
        <sz val="10"/>
        <color theme="1"/>
        <rFont val="宋体"/>
        <charset val="134"/>
      </rPr>
      <t>琥珀酸</t>
    </r>
  </si>
  <si>
    <t>110-15-6</t>
  </si>
  <si>
    <r>
      <rPr>
        <sz val="10"/>
        <color rgb="FF000000"/>
        <rFont val="宋体"/>
        <charset val="134"/>
      </rPr>
      <t>苯乙酸</t>
    </r>
  </si>
  <si>
    <t>103-82-2</t>
  </si>
  <si>
    <r>
      <rPr>
        <sz val="10"/>
        <color rgb="FF000000"/>
        <rFont val="Times New Roman"/>
        <charset val="134"/>
      </rPr>
      <t>214</t>
    </r>
    <r>
      <rPr>
        <sz val="10"/>
        <color rgb="FF000000"/>
        <rFont val="宋体"/>
        <charset val="134"/>
      </rPr>
      <t>易制毒柜一层</t>
    </r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</si>
  <si>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氯</t>
    </r>
    <r>
      <rPr>
        <sz val="10"/>
        <color theme="1"/>
        <rFont val="Times New Roman"/>
        <charset val="134"/>
      </rPr>
      <t>-3-</t>
    </r>
    <r>
      <rPr>
        <sz val="10"/>
        <color theme="1"/>
        <rFont val="宋体"/>
        <charset val="134"/>
      </rPr>
      <t>硝基苯甲酸</t>
    </r>
  </si>
  <si>
    <t>96-99-1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</si>
  <si>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</t>
    </r>
    <r>
      <rPr>
        <sz val="10"/>
        <color rgb="FF000000"/>
        <rFont val="Times New Roman"/>
        <charset val="134"/>
      </rPr>
      <t>1</t>
    </r>
    <r>
      <rPr>
        <sz val="10"/>
        <color rgb="FF000000"/>
        <rFont val="宋体"/>
        <charset val="134"/>
      </rPr>
      <t>左</t>
    </r>
  </si>
  <si>
    <r>
      <rPr>
        <sz val="10"/>
        <color theme="1"/>
        <rFont val="宋体"/>
        <charset val="134"/>
      </rPr>
      <t>甲酸</t>
    </r>
  </si>
  <si>
    <t>64-18-6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</si>
  <si>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层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</si>
  <si>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木柜下一层右</t>
    </r>
  </si>
  <si>
    <t>495-69-2</t>
  </si>
  <si>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吲哚醋酸</t>
    </r>
  </si>
  <si>
    <t>87-51-4</t>
  </si>
  <si>
    <r>
      <rPr>
        <sz val="10"/>
        <color theme="1"/>
        <rFont val="宋体"/>
        <charset val="134"/>
      </rPr>
      <t>间氨基苯甲酸</t>
    </r>
  </si>
  <si>
    <t>99-05-8</t>
  </si>
  <si>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-4-</t>
    </r>
    <r>
      <rPr>
        <sz val="10"/>
        <color theme="1"/>
        <rFont val="宋体"/>
        <charset val="134"/>
      </rPr>
      <t>羟基苯甲酸</t>
    </r>
  </si>
  <si>
    <t>1571-72-8</t>
  </si>
  <si>
    <r>
      <rPr>
        <sz val="10"/>
        <color theme="1"/>
        <rFont val="宋体"/>
        <charset val="134"/>
      </rPr>
      <t>对羟基苯甲酸</t>
    </r>
  </si>
  <si>
    <t>99-96-7</t>
  </si>
  <si>
    <r>
      <rPr>
        <sz val="10"/>
        <color theme="1"/>
        <rFont val="Times New Roman"/>
        <charset val="134"/>
      </rPr>
      <t>6-</t>
    </r>
    <r>
      <rPr>
        <sz val="10"/>
        <color theme="1"/>
        <rFont val="宋体"/>
        <charset val="134"/>
      </rPr>
      <t>氨基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吡啶甲酸</t>
    </r>
  </si>
  <si>
    <t>23628-31-1</t>
  </si>
  <si>
    <r>
      <rPr>
        <sz val="10"/>
        <color theme="1"/>
        <rFont val="宋体"/>
        <charset val="134"/>
      </rPr>
      <t>对苯二甲酸</t>
    </r>
  </si>
  <si>
    <t>100-21-0</t>
  </si>
  <si>
    <r>
      <rPr>
        <sz val="10"/>
        <color rgb="FF000000"/>
        <rFont val="宋体"/>
        <charset val="134"/>
      </rPr>
      <t>二茂铁硼酸</t>
    </r>
  </si>
  <si>
    <t>12152-94-2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</si>
  <si>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甲基水杨酸</t>
    </r>
  </si>
  <si>
    <t>50-85-1</t>
  </si>
  <si>
    <t>酸类</t>
  </si>
  <si>
    <t>甲酸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</si>
  <si>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氰基苯甲酸</t>
    </r>
  </si>
  <si>
    <t>619-65-8</t>
  </si>
  <si>
    <t>乙烯基乙酸</t>
  </si>
  <si>
    <t>625-38-7</t>
  </si>
  <si>
    <t>216冰箱二层</t>
  </si>
  <si>
    <t>4-氯苯硼酸</t>
  </si>
  <si>
    <t>1679-18-1</t>
  </si>
  <si>
    <r>
      <rPr>
        <sz val="10"/>
        <color theme="1"/>
        <rFont val="Times New Roman"/>
        <charset val="134"/>
      </rPr>
      <t>N-</t>
    </r>
    <r>
      <rPr>
        <sz val="10"/>
        <color theme="1"/>
        <rFont val="宋体"/>
        <charset val="134"/>
      </rPr>
      <t>甲基吡咯烷酮</t>
    </r>
  </si>
  <si>
    <r>
      <rPr>
        <sz val="10"/>
        <color rgb="FF000000"/>
        <rFont val="宋体"/>
        <charset val="134"/>
      </rPr>
      <t>酮类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</si>
  <si>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1</t>
    </r>
    <r>
      <rPr>
        <sz val="10"/>
        <color rgb="FF000000"/>
        <rFont val="宋体"/>
        <charset val="134"/>
      </rPr>
      <t>层右</t>
    </r>
  </si>
  <si>
    <r>
      <rPr>
        <sz val="10"/>
        <color rgb="FF000000"/>
        <rFont val="宋体"/>
        <charset val="134"/>
      </rPr>
      <t>苯骈龙三酮</t>
    </r>
  </si>
  <si>
    <t>3-984-76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</si>
  <si>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</t>
    </r>
  </si>
  <si>
    <r>
      <rPr>
        <sz val="10"/>
        <color rgb="FF000000"/>
        <rFont val="宋体"/>
        <charset val="134"/>
      </rPr>
      <t>二次丙酮</t>
    </r>
  </si>
  <si>
    <t>67-64-1</t>
  </si>
  <si>
    <r>
      <rPr>
        <sz val="10"/>
        <color indexed="8"/>
        <rFont val="宋体"/>
        <charset val="134"/>
      </rPr>
      <t>酮类</t>
    </r>
  </si>
  <si>
    <r>
      <rPr>
        <sz val="10"/>
        <color theme="1"/>
        <rFont val="宋体"/>
        <charset val="134"/>
      </rPr>
      <t>丁酮</t>
    </r>
  </si>
  <si>
    <t>78-93-3</t>
  </si>
  <si>
    <r>
      <rPr>
        <sz val="10"/>
        <color theme="1"/>
        <rFont val="宋体"/>
        <charset val="134"/>
      </rPr>
      <t>丙酮</t>
    </r>
  </si>
  <si>
    <r>
      <rPr>
        <sz val="10"/>
        <color theme="1"/>
        <rFont val="Times New Roman"/>
        <charset val="134"/>
      </rPr>
      <t>2-</t>
    </r>
    <r>
      <rPr>
        <sz val="10"/>
        <color theme="1"/>
        <rFont val="宋体"/>
        <charset val="134"/>
      </rPr>
      <t>吡啶酮</t>
    </r>
  </si>
  <si>
    <t>142-08-5</t>
  </si>
  <si>
    <r>
      <rPr>
        <sz val="10"/>
        <color theme="1"/>
        <rFont val="Times New Roman"/>
        <charset val="134"/>
      </rPr>
      <t>2</t>
    </r>
    <r>
      <rPr>
        <sz val="10"/>
        <color theme="1"/>
        <rFont val="宋体"/>
        <charset val="134"/>
      </rPr>
      <t>，</t>
    </r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噻唑烷二酮</t>
    </r>
  </si>
  <si>
    <t>2295-31-0</t>
  </si>
  <si>
    <r>
      <rPr>
        <sz val="10"/>
        <color theme="1"/>
        <rFont val="Times New Roman"/>
        <charset val="134"/>
      </rPr>
      <t>3-</t>
    </r>
    <r>
      <rPr>
        <sz val="10"/>
        <color theme="1"/>
        <rFont val="宋体"/>
        <charset val="134"/>
      </rPr>
      <t>戊酮</t>
    </r>
  </si>
  <si>
    <t>96-22-0</t>
  </si>
  <si>
    <r>
      <rPr>
        <sz val="10"/>
        <color theme="1"/>
        <rFont val="宋体"/>
        <charset val="134"/>
      </rPr>
      <t>二苯甲酮</t>
    </r>
  </si>
  <si>
    <r>
      <rPr>
        <sz val="10"/>
        <color rgb="FF000000"/>
        <rFont val="宋体"/>
        <charset val="134"/>
      </rPr>
      <t>丙酮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</si>
  <si>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木柜下一层</t>
    </r>
  </si>
  <si>
    <r>
      <rPr>
        <sz val="10"/>
        <color theme="1"/>
        <rFont val="宋体"/>
        <charset val="134"/>
      </rPr>
      <t>对硝基苯乙酮</t>
    </r>
  </si>
  <si>
    <t>110-19-6</t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</si>
  <si>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氨基二苯甲酮</t>
    </r>
  </si>
  <si>
    <t>1137-41-3</t>
  </si>
  <si>
    <r>
      <rPr>
        <sz val="10"/>
        <color rgb="FF000000"/>
        <rFont val="宋体"/>
        <charset val="134"/>
      </rPr>
      <t>碘苯乙酮</t>
    </r>
  </si>
  <si>
    <t>环己酮</t>
  </si>
  <si>
    <t>108-94-1</t>
  </si>
  <si>
    <t>酮类</t>
  </si>
  <si>
    <t>苯甲酰丙酮</t>
  </si>
  <si>
    <t>93-91-4</t>
  </si>
  <si>
    <r>
      <rPr>
        <sz val="10"/>
        <color rgb="FF000000"/>
        <rFont val="Times New Roman"/>
        <charset val="0"/>
      </rPr>
      <t>3,4-</t>
    </r>
    <r>
      <rPr>
        <sz val="10"/>
        <color rgb="FF000000"/>
        <rFont val="宋体"/>
        <charset val="134"/>
      </rPr>
      <t>二氨基二苯甲酮</t>
    </r>
  </si>
  <si>
    <t>39070-63-8</t>
  </si>
  <si>
    <r>
      <rPr>
        <sz val="10"/>
        <color rgb="FF000000"/>
        <rFont val="宋体"/>
        <charset val="134"/>
      </rPr>
      <t>环己烷</t>
    </r>
  </si>
  <si>
    <t>110-82-7</t>
  </si>
  <si>
    <r>
      <rPr>
        <sz val="10"/>
        <color rgb="FF000000"/>
        <rFont val="宋体"/>
        <charset val="134"/>
      </rPr>
      <t>烷、烯、炔烃类</t>
    </r>
  </si>
  <si>
    <r>
      <rPr>
        <sz val="10"/>
        <color theme="1"/>
        <rFont val="Times New Roman"/>
        <charset val="134"/>
      </rPr>
      <t>4-</t>
    </r>
    <r>
      <rPr>
        <sz val="10"/>
        <color theme="1"/>
        <rFont val="宋体"/>
        <charset val="134"/>
      </rPr>
      <t>甲苯基乙炔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</si>
  <si>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层中</t>
    </r>
  </si>
  <si>
    <r>
      <rPr>
        <sz val="10"/>
        <color theme="1"/>
        <rFont val="宋体"/>
        <charset val="134"/>
      </rPr>
      <t>正辛烷</t>
    </r>
  </si>
  <si>
    <t>111-65-9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</si>
  <si>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左</t>
    </r>
  </si>
  <si>
    <r>
      <rPr>
        <sz val="10"/>
        <color rgb="FF000000"/>
        <rFont val="宋体"/>
        <charset val="134"/>
      </rPr>
      <t>吡咯烷</t>
    </r>
  </si>
  <si>
    <r>
      <rPr>
        <sz val="10"/>
        <color theme="1"/>
        <rFont val="宋体"/>
        <charset val="134"/>
      </rPr>
      <t>苯乙炔</t>
    </r>
  </si>
  <si>
    <r>
      <rPr>
        <sz val="10"/>
        <color theme="1"/>
        <rFont val="宋体"/>
        <charset val="134"/>
      </rPr>
      <t>环己烷</t>
    </r>
  </si>
  <si>
    <r>
      <rPr>
        <sz val="10"/>
        <color rgb="FF000000"/>
        <rFont val="宋体"/>
        <charset val="134"/>
      </rPr>
      <t>烷烃类</t>
    </r>
  </si>
  <si>
    <r>
      <rPr>
        <sz val="10"/>
        <color theme="1"/>
        <rFont val="宋体"/>
        <charset val="134"/>
      </rPr>
      <t>正己烷</t>
    </r>
  </si>
  <si>
    <t>110-54-3</t>
  </si>
  <si>
    <r>
      <rPr>
        <sz val="10"/>
        <color rgb="FF000000"/>
        <rFont val="宋体"/>
        <charset val="134"/>
      </rPr>
      <t>正戊烷</t>
    </r>
  </si>
  <si>
    <t>109-66-0</t>
  </si>
  <si>
    <t>氯化钙</t>
  </si>
  <si>
    <t>10043-52-4</t>
  </si>
  <si>
    <t>CaCl2</t>
  </si>
  <si>
    <t>1kg</t>
  </si>
  <si>
    <t>无机物</t>
  </si>
  <si>
    <t>201三号柜</t>
  </si>
  <si>
    <t>氯化钡</t>
  </si>
  <si>
    <t>10361-37-2</t>
  </si>
  <si>
    <t>BaCl2</t>
  </si>
  <si>
    <t>201一号柜上</t>
  </si>
  <si>
    <t>溴化铜</t>
  </si>
  <si>
    <t>7789-45-9</t>
  </si>
  <si>
    <t>CuBr2</t>
  </si>
  <si>
    <t>201四号柜</t>
  </si>
  <si>
    <t>溴化亚铜</t>
  </si>
  <si>
    <t>7787-70-4</t>
  </si>
  <si>
    <t>CuBr</t>
  </si>
  <si>
    <t>硫酸亚铁</t>
  </si>
  <si>
    <t>FeSO4.7H2O</t>
  </si>
  <si>
    <t>99-101％</t>
  </si>
  <si>
    <t>201桌柜里柜下</t>
  </si>
  <si>
    <t>六水合氯化铁</t>
  </si>
  <si>
    <t>FeCl3-6H20</t>
  </si>
  <si>
    <t>201里柜下</t>
  </si>
  <si>
    <t>氢氧化钙</t>
  </si>
  <si>
    <t>Ca(OH)2</t>
  </si>
  <si>
    <t>201外柜</t>
  </si>
  <si>
    <r>
      <rPr>
        <sz val="10"/>
        <color theme="1"/>
        <rFont val="宋体"/>
        <charset val="134"/>
      </rPr>
      <t>过硫酸铵</t>
    </r>
  </si>
  <si>
    <t>7727-54-0</t>
  </si>
  <si>
    <r>
      <rPr>
        <sz val="10"/>
        <color rgb="FF000000"/>
        <rFont val="宋体"/>
        <charset val="134"/>
      </rPr>
      <t>无机物类</t>
    </r>
  </si>
  <si>
    <r>
      <rPr>
        <sz val="10"/>
        <color theme="1"/>
        <rFont val="宋体"/>
        <charset val="134"/>
      </rPr>
      <t>活性炭</t>
    </r>
  </si>
  <si>
    <t>64365-11-3</t>
  </si>
  <si>
    <t>C</t>
  </si>
  <si>
    <r>
      <rPr>
        <sz val="10"/>
        <rFont val="宋体"/>
        <charset val="134"/>
      </rPr>
      <t>碘化亚铜</t>
    </r>
  </si>
  <si>
    <t>7681-65-4</t>
  </si>
  <si>
    <t>CuI</t>
  </si>
  <si>
    <r>
      <rPr>
        <sz val="10"/>
        <rFont val="宋体"/>
        <charset val="134"/>
      </rPr>
      <t>无水硫酸铜</t>
    </r>
  </si>
  <si>
    <t>7758-97-7</t>
  </si>
  <si>
    <t>CuSO4</t>
  </si>
  <si>
    <r>
      <rPr>
        <sz val="10"/>
        <color theme="1"/>
        <rFont val="宋体"/>
        <charset val="134"/>
      </rPr>
      <t>硒粉</t>
    </r>
  </si>
  <si>
    <t>7782-49-2</t>
  </si>
  <si>
    <t>Se</t>
  </si>
  <si>
    <r>
      <rPr>
        <sz val="10"/>
        <color theme="1"/>
        <rFont val="宋体"/>
        <charset val="134"/>
      </rPr>
      <t>硫氢化钠</t>
    </r>
  </si>
  <si>
    <t>16721-80-5</t>
  </si>
  <si>
    <t>NaHS</t>
  </si>
  <si>
    <r>
      <rPr>
        <sz val="10"/>
        <rFont val="宋体"/>
        <charset val="134"/>
      </rPr>
      <t>硫氢化钠</t>
    </r>
  </si>
  <si>
    <r>
      <rPr>
        <sz val="10"/>
        <rFont val="宋体"/>
        <charset val="134"/>
      </rPr>
      <t>三氯化铁</t>
    </r>
  </si>
  <si>
    <t>7705-08-0</t>
  </si>
  <si>
    <t>FeCl3</t>
  </si>
  <si>
    <r>
      <rPr>
        <sz val="10"/>
        <rFont val="宋体"/>
        <charset val="134"/>
      </rPr>
      <t>氯化镁</t>
    </r>
  </si>
  <si>
    <t>7786-30-3</t>
  </si>
  <si>
    <t>MgCl2</t>
  </si>
  <si>
    <t>碘化亚铜</t>
  </si>
  <si>
    <r>
      <rPr>
        <sz val="10"/>
        <rFont val="宋体"/>
        <charset val="134"/>
      </rPr>
      <t>硫化钠</t>
    </r>
  </si>
  <si>
    <t>1313-82-2</t>
  </si>
  <si>
    <t>Na2S</t>
  </si>
  <si>
    <r>
      <rPr>
        <sz val="10"/>
        <color theme="1"/>
        <rFont val="宋体"/>
        <charset val="134"/>
      </rPr>
      <t>碳酸铯</t>
    </r>
  </si>
  <si>
    <t>534-17-8</t>
  </si>
  <si>
    <r>
      <rPr>
        <sz val="10"/>
        <color theme="1"/>
        <rFont val="宋体"/>
        <charset val="134"/>
      </rPr>
      <t>氯化铜（</t>
    </r>
    <r>
      <rPr>
        <sz val="10"/>
        <color theme="1"/>
        <rFont val="Times New Roman"/>
        <charset val="134"/>
      </rPr>
      <t>I</t>
    </r>
    <r>
      <rPr>
        <sz val="10"/>
        <color theme="1"/>
        <rFont val="宋体"/>
        <charset val="134"/>
      </rPr>
      <t>）</t>
    </r>
  </si>
  <si>
    <t>7758-89-6</t>
  </si>
  <si>
    <r>
      <rPr>
        <sz val="10"/>
        <color theme="1"/>
        <rFont val="宋体"/>
        <charset val="134"/>
      </rPr>
      <t>硫化铵溶液</t>
    </r>
  </si>
  <si>
    <t>12135-76-1</t>
  </si>
  <si>
    <r>
      <rPr>
        <sz val="10"/>
        <color theme="1"/>
        <rFont val="宋体"/>
        <charset val="134"/>
      </rPr>
      <t>叔丁醇钾</t>
    </r>
  </si>
  <si>
    <t>865-47-4</t>
  </si>
  <si>
    <r>
      <rPr>
        <sz val="10"/>
        <color theme="1"/>
        <rFont val="宋体"/>
        <charset val="134"/>
      </rPr>
      <t>八羰基二钴</t>
    </r>
  </si>
  <si>
    <t>10210-68-1</t>
  </si>
  <si>
    <r>
      <rPr>
        <sz val="10"/>
        <color theme="1"/>
        <rFont val="宋体"/>
        <charset val="134"/>
      </rPr>
      <t>还原铁粉</t>
    </r>
  </si>
  <si>
    <t>7439-89-6</t>
  </si>
  <si>
    <t>Fe</t>
  </si>
  <si>
    <r>
      <rPr>
        <sz val="10"/>
        <color theme="1"/>
        <rFont val="宋体"/>
        <charset val="134"/>
      </rPr>
      <t>氯化镍</t>
    </r>
  </si>
  <si>
    <t>7718-54-9</t>
  </si>
  <si>
    <t>NiCl2</t>
  </si>
  <si>
    <r>
      <rPr>
        <sz val="10"/>
        <color theme="1"/>
        <rFont val="宋体"/>
        <charset val="134"/>
      </rPr>
      <t>硝酸银</t>
    </r>
  </si>
  <si>
    <t>7761-88-8</t>
  </si>
  <si>
    <t>AgNO3</t>
  </si>
  <si>
    <r>
      <rPr>
        <sz val="10"/>
        <color theme="1"/>
        <rFont val="宋体"/>
        <charset val="134"/>
      </rPr>
      <t>乙原磺酸钾</t>
    </r>
  </si>
  <si>
    <t>140-89-6</t>
  </si>
  <si>
    <r>
      <rPr>
        <sz val="10"/>
        <rFont val="宋体"/>
        <charset val="134"/>
      </rPr>
      <t>亚硫酸氢钠</t>
    </r>
  </si>
  <si>
    <t>7631-90-5</t>
  </si>
  <si>
    <r>
      <rPr>
        <sz val="10"/>
        <rFont val="宋体"/>
        <charset val="134"/>
      </rPr>
      <t>氢氧化钠</t>
    </r>
  </si>
  <si>
    <t>1310-73-2</t>
  </si>
  <si>
    <t>NaOH</t>
  </si>
  <si>
    <r>
      <rPr>
        <sz val="10"/>
        <color theme="1"/>
        <rFont val="宋体"/>
        <charset val="134"/>
      </rPr>
      <t>溴化钾</t>
    </r>
  </si>
  <si>
    <t>KBr</t>
  </si>
  <si>
    <r>
      <rPr>
        <sz val="10"/>
        <color theme="1"/>
        <rFont val="宋体"/>
        <charset val="134"/>
      </rPr>
      <t>钼酸钠</t>
    </r>
  </si>
  <si>
    <t>7631-95-0</t>
  </si>
  <si>
    <r>
      <rPr>
        <sz val="10"/>
        <color theme="1"/>
        <rFont val="宋体"/>
        <charset val="134"/>
      </rPr>
      <t>铝酸钠</t>
    </r>
  </si>
  <si>
    <t>11138-49-1</t>
  </si>
  <si>
    <r>
      <rPr>
        <sz val="10"/>
        <color theme="1"/>
        <rFont val="宋体"/>
        <charset val="134"/>
      </rPr>
      <t>硫代硫酸钠</t>
    </r>
  </si>
  <si>
    <t>7772-98-7</t>
  </si>
  <si>
    <r>
      <rPr>
        <sz val="10"/>
        <color rgb="FF000000"/>
        <rFont val="宋体"/>
        <charset val="134"/>
      </rPr>
      <t>硫酸亚铁铵</t>
    </r>
  </si>
  <si>
    <t>10045-89-3</t>
  </si>
  <si>
    <r>
      <rPr>
        <sz val="10"/>
        <color indexed="8"/>
        <rFont val="宋体"/>
        <charset val="134"/>
      </rPr>
      <t>磷酸二氢钾</t>
    </r>
  </si>
  <si>
    <t>7778-77-0</t>
  </si>
  <si>
    <r>
      <rPr>
        <sz val="10"/>
        <color rgb="FF000000"/>
        <rFont val="宋体"/>
        <charset val="134"/>
      </rPr>
      <t>色谱纯</t>
    </r>
  </si>
  <si>
    <r>
      <rPr>
        <sz val="10"/>
        <color theme="1"/>
        <rFont val="宋体"/>
        <charset val="134"/>
      </rPr>
      <t>硝酸</t>
    </r>
  </si>
  <si>
    <t>7697-37-2</t>
  </si>
  <si>
    <t>65-68%</t>
  </si>
  <si>
    <r>
      <rPr>
        <sz val="10"/>
        <color theme="1"/>
        <rFont val="宋体"/>
        <charset val="134"/>
      </rPr>
      <t>盐酸</t>
    </r>
  </si>
  <si>
    <t>7647-01-0</t>
  </si>
  <si>
    <t>HCl</t>
  </si>
  <si>
    <t>12mol/L</t>
  </si>
  <si>
    <r>
      <rPr>
        <sz val="10"/>
        <color theme="1"/>
        <rFont val="宋体"/>
        <charset val="134"/>
      </rPr>
      <t>硼酸</t>
    </r>
  </si>
  <si>
    <t>10043-35-3</t>
  </si>
  <si>
    <t>H3BO3</t>
  </si>
  <si>
    <r>
      <rPr>
        <sz val="10"/>
        <color rgb="FF000000"/>
        <rFont val="宋体"/>
        <charset val="134"/>
      </rPr>
      <t>盐酸</t>
    </r>
  </si>
  <si>
    <r>
      <rPr>
        <sz val="10"/>
        <color rgb="FF000000"/>
        <rFont val="宋体"/>
        <charset val="134"/>
      </rPr>
      <t>硼酸</t>
    </r>
  </si>
  <si>
    <r>
      <rPr>
        <sz val="10"/>
        <color rgb="FF000000"/>
        <rFont val="宋体"/>
        <charset val="134"/>
      </rPr>
      <t>浓硫酸</t>
    </r>
  </si>
  <si>
    <t>7664-93-9</t>
  </si>
  <si>
    <r>
      <rPr>
        <sz val="10"/>
        <color rgb="FF000000"/>
        <rFont val="宋体"/>
        <charset val="134"/>
      </rPr>
      <t>（浓）</t>
    </r>
    <r>
      <rPr>
        <sz val="10"/>
        <color rgb="FF000000"/>
        <rFont val="Times New Roman"/>
        <charset val="134"/>
      </rPr>
      <t>H2SO4</t>
    </r>
  </si>
  <si>
    <r>
      <rPr>
        <sz val="10"/>
        <color rgb="FF000000"/>
        <rFont val="宋体"/>
        <charset val="134"/>
      </rPr>
      <t>浓盐酸</t>
    </r>
  </si>
  <si>
    <r>
      <rPr>
        <sz val="10"/>
        <color rgb="FF000000"/>
        <rFont val="宋体"/>
        <charset val="134"/>
      </rPr>
      <t>（浓）</t>
    </r>
    <r>
      <rPr>
        <sz val="10"/>
        <color rgb="FF000000"/>
        <rFont val="Times New Roman"/>
        <charset val="134"/>
      </rPr>
      <t>HCl</t>
    </r>
  </si>
  <si>
    <r>
      <rPr>
        <sz val="10"/>
        <color rgb="FF000000"/>
        <rFont val="宋体"/>
        <charset val="134"/>
      </rPr>
      <t>磷钼酸</t>
    </r>
  </si>
  <si>
    <t>51429-74-4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</si>
  <si>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一号柜上</t>
    </r>
  </si>
  <si>
    <r>
      <rPr>
        <sz val="10"/>
        <color theme="1"/>
        <rFont val="宋体"/>
        <charset val="134"/>
      </rPr>
      <t>硫氰酸钾</t>
    </r>
  </si>
  <si>
    <t>333-20-0</t>
  </si>
  <si>
    <t>KSCN</t>
  </si>
  <si>
    <r>
      <rPr>
        <sz val="10"/>
        <color theme="1"/>
        <rFont val="宋体"/>
        <charset val="134"/>
      </rPr>
      <t>磷酸三钾</t>
    </r>
  </si>
  <si>
    <t>7778-53-2</t>
  </si>
  <si>
    <t>K3PO4</t>
  </si>
  <si>
    <r>
      <rPr>
        <sz val="10"/>
        <color theme="1"/>
        <rFont val="宋体"/>
        <charset val="134"/>
      </rPr>
      <t>碘化钾</t>
    </r>
  </si>
  <si>
    <t>7681-11-0</t>
  </si>
  <si>
    <t>KI</t>
  </si>
  <si>
    <r>
      <rPr>
        <sz val="10"/>
        <color theme="1"/>
        <rFont val="宋体"/>
        <charset val="134"/>
      </rPr>
      <t>硫酸铁</t>
    </r>
  </si>
  <si>
    <t>15244-10-7</t>
  </si>
  <si>
    <t>Fe2(SO4)₃</t>
  </si>
  <si>
    <r>
      <rPr>
        <sz val="10"/>
        <color theme="1"/>
        <rFont val="宋体"/>
        <charset val="134"/>
      </rPr>
      <t>二氯化铁</t>
    </r>
  </si>
  <si>
    <t xml:space="preserve"> 7758-94-3</t>
  </si>
  <si>
    <t>FeCl2</t>
  </si>
  <si>
    <r>
      <rPr>
        <sz val="10"/>
        <color theme="1"/>
        <rFont val="宋体"/>
        <charset val="134"/>
      </rPr>
      <t>无水硫酸铜</t>
    </r>
  </si>
  <si>
    <t xml:space="preserve"> 7758-98-7 </t>
  </si>
  <si>
    <r>
      <rPr>
        <sz val="10"/>
        <color theme="1"/>
        <rFont val="宋体"/>
        <charset val="134"/>
      </rPr>
      <t>硫酸铜</t>
    </r>
  </si>
  <si>
    <t xml:space="preserve">7758-98-7 </t>
  </si>
  <si>
    <r>
      <rPr>
        <sz val="10"/>
        <color theme="1"/>
        <rFont val="宋体"/>
        <charset val="134"/>
      </rPr>
      <t>硫酸钙</t>
    </r>
  </si>
  <si>
    <t>7778-18-9</t>
  </si>
  <si>
    <t>CaSO4</t>
  </si>
  <si>
    <r>
      <rPr>
        <sz val="10"/>
        <color theme="1"/>
        <rFont val="宋体"/>
        <charset val="134"/>
      </rPr>
      <t>氯化钙</t>
    </r>
  </si>
  <si>
    <t xml:space="preserve"> 10043-52-4 </t>
  </si>
  <si>
    <r>
      <rPr>
        <sz val="10"/>
        <color theme="1"/>
        <rFont val="宋体"/>
        <charset val="134"/>
      </rPr>
      <t>分子纯</t>
    </r>
  </si>
  <si>
    <r>
      <rPr>
        <sz val="10"/>
        <color theme="1"/>
        <rFont val="宋体"/>
        <charset val="134"/>
      </rPr>
      <t>氯化钴</t>
    </r>
    <r>
      <rPr>
        <sz val="10"/>
        <color theme="1"/>
        <rFont val="Times New Roman"/>
        <charset val="134"/>
      </rPr>
      <t>·</t>
    </r>
    <r>
      <rPr>
        <sz val="10"/>
        <color theme="1"/>
        <rFont val="宋体"/>
        <charset val="134"/>
      </rPr>
      <t>六水</t>
    </r>
  </si>
  <si>
    <t xml:space="preserve"> 7791-13-1 </t>
  </si>
  <si>
    <t>CoCl2 · 6H2O</t>
  </si>
  <si>
    <r>
      <rPr>
        <sz val="10"/>
        <color indexed="8"/>
        <rFont val="Times New Roman"/>
        <charset val="134"/>
      </rPr>
      <t>201</t>
    </r>
    <r>
      <rPr>
        <sz val="10"/>
        <color indexed="8"/>
        <rFont val="宋体"/>
        <charset val="134"/>
      </rPr>
      <t>一号柜上</t>
    </r>
  </si>
  <si>
    <t xml:space="preserve"> 7772-98-7 </t>
  </si>
  <si>
    <t>Na2S2O3</t>
  </si>
  <si>
    <r>
      <rPr>
        <sz val="10"/>
        <color theme="1"/>
        <rFont val="宋体"/>
        <charset val="134"/>
      </rPr>
      <t>碳酸氢钠</t>
    </r>
  </si>
  <si>
    <t xml:space="preserve"> 144-55-8 </t>
  </si>
  <si>
    <t>NaHCO₃</t>
  </si>
  <si>
    <r>
      <rPr>
        <sz val="10"/>
        <color theme="1"/>
        <rFont val="宋体"/>
        <charset val="134"/>
      </rPr>
      <t>无水碳酸钠</t>
    </r>
  </si>
  <si>
    <t xml:space="preserve">497-19-8 </t>
  </si>
  <si>
    <t>Na2CO3</t>
  </si>
  <si>
    <r>
      <rPr>
        <sz val="10"/>
        <color theme="1"/>
        <rFont val="宋体"/>
        <charset val="134"/>
      </rPr>
      <t>碳酸钾</t>
    </r>
  </si>
  <si>
    <t>584-08-7</t>
  </si>
  <si>
    <t>K2CO3</t>
  </si>
  <si>
    <r>
      <rPr>
        <sz val="10"/>
        <color theme="1"/>
        <rFont val="宋体"/>
        <charset val="134"/>
      </rPr>
      <t>无水硫酸镁</t>
    </r>
  </si>
  <si>
    <t>7487-88-9</t>
  </si>
  <si>
    <t>Mg2SO4</t>
  </si>
  <si>
    <r>
      <rPr>
        <sz val="10"/>
        <color theme="1"/>
        <rFont val="宋体"/>
        <charset val="134"/>
      </rPr>
      <t>硫酸铈</t>
    </r>
  </si>
  <si>
    <t>17106-39-7</t>
  </si>
  <si>
    <r>
      <rPr>
        <sz val="10"/>
        <color rgb="FF000000"/>
        <rFont val="Times New Roman"/>
        <charset val="134"/>
      </rPr>
      <t>Ce(SO</t>
    </r>
    <r>
      <rPr>
        <vertAlign val="subscript"/>
        <sz val="10"/>
        <color rgb="FF000000"/>
        <rFont val="Times New Roman"/>
        <charset val="134"/>
      </rPr>
      <t>4</t>
    </r>
    <r>
      <rPr>
        <sz val="10"/>
        <color rgb="FF000000"/>
        <rFont val="Times New Roman"/>
        <charset val="134"/>
      </rPr>
      <t>)</t>
    </r>
    <r>
      <rPr>
        <vertAlign val="subscript"/>
        <sz val="10"/>
        <color rgb="FF000000"/>
        <rFont val="Times New Roman"/>
        <charset val="134"/>
      </rPr>
      <t>2</t>
    </r>
  </si>
  <si>
    <r>
      <rPr>
        <sz val="10"/>
        <color theme="1"/>
        <rFont val="宋体"/>
        <charset val="134"/>
      </rPr>
      <t>碳酸钙</t>
    </r>
  </si>
  <si>
    <t xml:space="preserve"> 471-34-1</t>
  </si>
  <si>
    <t>CaCO3</t>
  </si>
  <si>
    <r>
      <rPr>
        <sz val="10"/>
        <color theme="1"/>
        <rFont val="宋体"/>
        <charset val="134"/>
      </rPr>
      <t>硝酸钠</t>
    </r>
  </si>
  <si>
    <t xml:space="preserve"> 7631-99-4 </t>
  </si>
  <si>
    <t>NaNO3</t>
  </si>
  <si>
    <r>
      <rPr>
        <sz val="10"/>
        <color theme="1"/>
        <rFont val="宋体"/>
        <charset val="134"/>
      </rPr>
      <t>结晶碳酸钠</t>
    </r>
  </si>
  <si>
    <t xml:space="preserve"> 497-19-8</t>
  </si>
  <si>
    <r>
      <rPr>
        <sz val="10"/>
        <color theme="1"/>
        <rFont val="宋体"/>
        <charset val="134"/>
      </rPr>
      <t>硫酸锌</t>
    </r>
  </si>
  <si>
    <t>7733-02-0</t>
  </si>
  <si>
    <t>ZnSO4</t>
  </si>
  <si>
    <r>
      <rPr>
        <sz val="10"/>
        <color theme="1"/>
        <rFont val="宋体"/>
        <charset val="134"/>
      </rPr>
      <t>氟化钠</t>
    </r>
  </si>
  <si>
    <t>7681-49-4</t>
  </si>
  <si>
    <t>NaF</t>
  </si>
  <si>
    <r>
      <rPr>
        <sz val="10"/>
        <color theme="1"/>
        <rFont val="宋体"/>
        <charset val="134"/>
      </rPr>
      <t>硅酸钠</t>
    </r>
  </si>
  <si>
    <t>1344-09-8</t>
  </si>
  <si>
    <r>
      <rPr>
        <sz val="10"/>
        <color theme="1"/>
        <rFont val="宋体"/>
        <charset val="134"/>
      </rPr>
      <t>工业</t>
    </r>
    <r>
      <rPr>
        <sz val="10"/>
        <color theme="1"/>
        <rFont val="Times New Roman"/>
        <charset val="134"/>
      </rPr>
      <t>Na2SiO3</t>
    </r>
  </si>
  <si>
    <t>6834-92-0</t>
  </si>
  <si>
    <r>
      <rPr>
        <sz val="10"/>
        <color theme="1"/>
        <rFont val="宋体"/>
        <charset val="134"/>
      </rPr>
      <t>一次过滤</t>
    </r>
  </si>
  <si>
    <r>
      <rPr>
        <sz val="10"/>
        <color theme="1"/>
        <rFont val="宋体"/>
        <charset val="134"/>
      </rPr>
      <t>第二批</t>
    </r>
  </si>
  <si>
    <r>
      <rPr>
        <sz val="10"/>
        <color theme="1"/>
        <rFont val="宋体"/>
        <charset val="134"/>
      </rPr>
      <t>硼氢化钾</t>
    </r>
  </si>
  <si>
    <t>19762-51-1</t>
  </si>
  <si>
    <t>BH4-K+</t>
  </si>
  <si>
    <r>
      <rPr>
        <sz val="10"/>
        <color theme="1"/>
        <rFont val="宋体"/>
        <charset val="134"/>
      </rPr>
      <t>无水氯化钙</t>
    </r>
  </si>
  <si>
    <r>
      <rPr>
        <sz val="10"/>
        <color theme="1"/>
        <rFont val="宋体"/>
        <charset val="134"/>
      </rPr>
      <t>钨酸钠</t>
    </r>
  </si>
  <si>
    <t>13472-45-2</t>
  </si>
  <si>
    <t>497-19-8</t>
  </si>
  <si>
    <r>
      <rPr>
        <sz val="10"/>
        <color theme="1"/>
        <rFont val="宋体"/>
        <charset val="134"/>
      </rPr>
      <t>硫酸钾</t>
    </r>
  </si>
  <si>
    <t>7778-80-5</t>
  </si>
  <si>
    <r>
      <rPr>
        <sz val="10"/>
        <color theme="1"/>
        <rFont val="宋体"/>
        <charset val="134"/>
      </rPr>
      <t>硝酸镍</t>
    </r>
  </si>
  <si>
    <t>14216-75-2</t>
  </si>
  <si>
    <r>
      <rPr>
        <sz val="10"/>
        <color rgb="FF000000"/>
        <rFont val="宋体"/>
        <charset val="134"/>
      </rPr>
      <t>硫酸锌</t>
    </r>
  </si>
  <si>
    <r>
      <rPr>
        <sz val="10"/>
        <color rgb="FF000000"/>
        <rFont val="宋体"/>
        <charset val="134"/>
      </rPr>
      <t>亚硫酸氢钠</t>
    </r>
  </si>
  <si>
    <r>
      <rPr>
        <sz val="10"/>
        <color rgb="FF000000"/>
        <rFont val="宋体"/>
        <charset val="134"/>
      </rPr>
      <t>硫化钠</t>
    </r>
  </si>
  <si>
    <r>
      <rPr>
        <sz val="10"/>
        <color rgb="FF000000"/>
        <rFont val="宋体"/>
        <charset val="134"/>
      </rPr>
      <t>硝酸镉</t>
    </r>
  </si>
  <si>
    <t>10022-68-1</t>
  </si>
  <si>
    <t>Cd(NO3)2</t>
  </si>
  <si>
    <r>
      <rPr>
        <sz val="10"/>
        <color rgb="FF000000"/>
        <rFont val="宋体"/>
        <charset val="134"/>
      </rPr>
      <t>碳酸铯</t>
    </r>
  </si>
  <si>
    <t>Cs2CO3</t>
  </si>
  <si>
    <r>
      <rPr>
        <sz val="10"/>
        <color rgb="FF000000"/>
        <rFont val="宋体"/>
        <charset val="134"/>
      </rPr>
      <t>硝酸钠</t>
    </r>
  </si>
  <si>
    <r>
      <rPr>
        <sz val="10"/>
        <color rgb="FF000000"/>
        <rFont val="宋体"/>
        <charset val="134"/>
      </rPr>
      <t>碘化钾</t>
    </r>
  </si>
  <si>
    <r>
      <rPr>
        <sz val="10"/>
        <color theme="1"/>
        <rFont val="宋体"/>
        <charset val="134"/>
      </rPr>
      <t>次氯酸钠溶液</t>
    </r>
  </si>
  <si>
    <t xml:space="preserve"> 7681-52-9 </t>
  </si>
  <si>
    <t>NaClO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</si>
  <si>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一号柜下</t>
    </r>
  </si>
  <si>
    <r>
      <rPr>
        <sz val="10"/>
        <color theme="1"/>
        <rFont val="宋体"/>
        <charset val="134"/>
      </rPr>
      <t>四丁基氢氧化铵溶液</t>
    </r>
  </si>
  <si>
    <t>2052-49-5</t>
  </si>
  <si>
    <r>
      <rPr>
        <sz val="10"/>
        <color theme="1"/>
        <rFont val="宋体"/>
        <charset val="134"/>
      </rPr>
      <t>氯化锰</t>
    </r>
  </si>
  <si>
    <t>7773-01-5</t>
  </si>
  <si>
    <t>MnCl2</t>
  </si>
  <si>
    <r>
      <rPr>
        <sz val="10"/>
        <color theme="1"/>
        <rFont val="宋体"/>
        <charset val="134"/>
      </rPr>
      <t>无水碳酸钾</t>
    </r>
  </si>
  <si>
    <t xml:space="preserve"> 584-08-7 </t>
  </si>
  <si>
    <r>
      <rPr>
        <sz val="10"/>
        <color theme="1"/>
        <rFont val="宋体"/>
        <charset val="134"/>
      </rPr>
      <t>硫酸铁铵</t>
    </r>
  </si>
  <si>
    <t>10138-04-2</t>
  </si>
  <si>
    <t>NH4Fe(SO4)2</t>
  </si>
  <si>
    <t>MgSO4</t>
  </si>
  <si>
    <r>
      <rPr>
        <sz val="10"/>
        <color theme="1"/>
        <rFont val="宋体"/>
        <charset val="134"/>
      </rPr>
      <t>硫酸镍</t>
    </r>
  </si>
  <si>
    <t xml:space="preserve"> 7786-81-4 </t>
  </si>
  <si>
    <t>NiSO₄</t>
  </si>
  <si>
    <r>
      <rPr>
        <sz val="10"/>
        <color theme="1"/>
        <rFont val="宋体"/>
        <charset val="134"/>
      </rPr>
      <t>硫酸铝</t>
    </r>
  </si>
  <si>
    <t xml:space="preserve"> 10043-01-3 </t>
  </si>
  <si>
    <t>Al2(SO4)3</t>
  </si>
  <si>
    <r>
      <rPr>
        <sz val="10"/>
        <color theme="1"/>
        <rFont val="宋体"/>
        <charset val="134"/>
      </rPr>
      <t>硫化钠</t>
    </r>
  </si>
  <si>
    <r>
      <rPr>
        <sz val="10"/>
        <color theme="1"/>
        <rFont val="宋体"/>
        <charset val="134"/>
      </rPr>
      <t>亚硫酸氢钠</t>
    </r>
  </si>
  <si>
    <t xml:space="preserve">7631-90-5 </t>
  </si>
  <si>
    <t>NaHSO₃</t>
  </si>
  <si>
    <r>
      <rPr>
        <sz val="10"/>
        <color theme="1"/>
        <rFont val="宋体"/>
        <charset val="134"/>
      </rPr>
      <t>磷酸钙</t>
    </r>
  </si>
  <si>
    <t xml:space="preserve"> 7758-87-4</t>
  </si>
  <si>
    <t>Ca3(PO4)2</t>
  </si>
  <si>
    <r>
      <rPr>
        <sz val="10"/>
        <color theme="1"/>
        <rFont val="宋体"/>
        <charset val="134"/>
      </rPr>
      <t>薄层层析硅胶</t>
    </r>
  </si>
  <si>
    <t>112926-00-8</t>
  </si>
  <si>
    <t>mSiO2·nH2O</t>
  </si>
  <si>
    <r>
      <rPr>
        <sz val="10"/>
        <color theme="1"/>
        <rFont val="Times New Roman"/>
        <charset val="134"/>
      </rPr>
      <t>60</t>
    </r>
    <r>
      <rPr>
        <sz val="10"/>
        <color theme="1"/>
        <rFont val="宋体"/>
        <charset val="134"/>
      </rPr>
      <t>型</t>
    </r>
  </si>
  <si>
    <r>
      <rPr>
        <sz val="10"/>
        <color theme="1"/>
        <rFont val="宋体"/>
        <charset val="134"/>
      </rPr>
      <t>重铬酸钾</t>
    </r>
  </si>
  <si>
    <t>7778-50-9</t>
  </si>
  <si>
    <t>K2Cr2O7</t>
  </si>
  <si>
    <r>
      <rPr>
        <sz val="10"/>
        <color theme="1"/>
        <rFont val="宋体"/>
        <charset val="134"/>
      </rPr>
      <t>结晶碳酸钾</t>
    </r>
  </si>
  <si>
    <t>6381-79-9</t>
  </si>
  <si>
    <r>
      <rPr>
        <sz val="10"/>
        <color theme="1"/>
        <rFont val="宋体"/>
        <charset val="134"/>
      </rPr>
      <t>硫酸镁</t>
    </r>
  </si>
  <si>
    <t>471-34-1</t>
  </si>
  <si>
    <r>
      <rPr>
        <sz val="10"/>
        <color theme="1"/>
        <rFont val="宋体"/>
        <charset val="134"/>
      </rPr>
      <t>无水硫酸钠</t>
    </r>
  </si>
  <si>
    <t>15124-09-1</t>
  </si>
  <si>
    <t>Na2SO4</t>
  </si>
  <si>
    <r>
      <rPr>
        <sz val="10"/>
        <color theme="1"/>
        <rFont val="宋体"/>
        <charset val="134"/>
      </rPr>
      <t>无水亚硫酸钠</t>
    </r>
  </si>
  <si>
    <t>7757-83-7</t>
  </si>
  <si>
    <t>Na2SO3</t>
  </si>
  <si>
    <t>NaCl</t>
  </si>
  <si>
    <t>7647-14-5</t>
  </si>
  <si>
    <r>
      <rPr>
        <sz val="10"/>
        <color rgb="FF000000"/>
        <rFont val="宋体"/>
        <charset val="134"/>
      </rPr>
      <t>无水硫酸镁</t>
    </r>
  </si>
  <si>
    <r>
      <rPr>
        <sz val="10"/>
        <color rgb="FF000000"/>
        <rFont val="宋体"/>
        <charset val="134"/>
      </rPr>
      <t>重铬酸钠</t>
    </r>
  </si>
  <si>
    <t>Na2Cr2O7</t>
  </si>
  <si>
    <r>
      <rPr>
        <sz val="10"/>
        <color rgb="FF000000"/>
        <rFont val="宋体"/>
        <charset val="134"/>
      </rPr>
      <t>氢氧化铝</t>
    </r>
  </si>
  <si>
    <t>21645-51-2</t>
  </si>
  <si>
    <r>
      <rPr>
        <sz val="10"/>
        <color rgb="FF000000"/>
        <rFont val="宋体"/>
        <charset val="134"/>
      </rPr>
      <t>氯化铜</t>
    </r>
  </si>
  <si>
    <t>10125-13-0</t>
  </si>
  <si>
    <t>CuCl2</t>
  </si>
  <si>
    <r>
      <rPr>
        <sz val="10"/>
        <color rgb="FF000000"/>
        <rFont val="宋体"/>
        <charset val="134"/>
      </rPr>
      <t>亚硫酸钠</t>
    </r>
  </si>
  <si>
    <r>
      <rPr>
        <sz val="10"/>
        <color rgb="FF000000"/>
        <rFont val="宋体"/>
        <charset val="134"/>
      </rPr>
      <t>硼氢化钠</t>
    </r>
  </si>
  <si>
    <t>16940-66-2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</si>
  <si>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一号柜下（一瓶在墙柜里）</t>
    </r>
  </si>
  <si>
    <r>
      <rPr>
        <sz val="10"/>
        <color theme="1"/>
        <rFont val="宋体"/>
        <charset val="134"/>
      </rPr>
      <t>升华硫</t>
    </r>
  </si>
  <si>
    <t>7704-34-9</t>
  </si>
  <si>
    <t>S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</si>
  <si>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二号柜上</t>
    </r>
  </si>
  <si>
    <r>
      <rPr>
        <sz val="10"/>
        <color theme="1"/>
        <rFont val="宋体"/>
        <charset val="134"/>
      </rPr>
      <t>氢氧化钾</t>
    </r>
  </si>
  <si>
    <t>1310-58-3</t>
  </si>
  <si>
    <t>KOH</t>
  </si>
  <si>
    <r>
      <rPr>
        <sz val="10"/>
        <color theme="1"/>
        <rFont val="宋体"/>
        <charset val="134"/>
      </rPr>
      <t>三氧化二铁</t>
    </r>
  </si>
  <si>
    <t>1309-37-1</t>
  </si>
  <si>
    <t>Fe2O3</t>
  </si>
  <si>
    <r>
      <rPr>
        <sz val="10"/>
        <color theme="1"/>
        <rFont val="宋体"/>
        <charset val="134"/>
      </rPr>
      <t>锌粉</t>
    </r>
  </si>
  <si>
    <t>7440-66-6</t>
  </si>
  <si>
    <t>Zn</t>
  </si>
  <si>
    <t>碘</t>
  </si>
  <si>
    <t>7553-56-2</t>
  </si>
  <si>
    <t>I</t>
  </si>
  <si>
    <r>
      <rPr>
        <sz val="10"/>
        <color theme="1"/>
        <rFont val="宋体"/>
        <charset val="134"/>
      </rPr>
      <t>碘</t>
    </r>
  </si>
  <si>
    <r>
      <rPr>
        <sz val="10"/>
        <color theme="1"/>
        <rFont val="宋体"/>
        <charset val="134"/>
      </rPr>
      <t>镁条</t>
    </r>
  </si>
  <si>
    <t>Mg</t>
  </si>
  <si>
    <r>
      <rPr>
        <sz val="10"/>
        <color theme="1"/>
        <rFont val="宋体"/>
        <charset val="134"/>
      </rPr>
      <t>二氯化锰</t>
    </r>
  </si>
  <si>
    <t xml:space="preserve">7773-01-5 </t>
  </si>
  <si>
    <t>NaHSO3</t>
  </si>
  <si>
    <r>
      <rPr>
        <sz val="10"/>
        <color theme="1"/>
        <rFont val="宋体"/>
        <charset val="134"/>
      </rPr>
      <t>氧化铝</t>
    </r>
  </si>
  <si>
    <t>1344-28-1</t>
  </si>
  <si>
    <r>
      <rPr>
        <sz val="10"/>
        <color theme="1"/>
        <rFont val="Times New Roman"/>
        <charset val="134"/>
      </rPr>
      <t>Al</t>
    </r>
    <r>
      <rPr>
        <vertAlign val="subscript"/>
        <sz val="10"/>
        <color theme="1"/>
        <rFont val="Times New Roman"/>
        <charset val="134"/>
      </rPr>
      <t>2</t>
    </r>
    <r>
      <rPr>
        <sz val="10"/>
        <color theme="1"/>
        <rFont val="Times New Roman"/>
        <charset val="134"/>
      </rPr>
      <t>O3</t>
    </r>
  </si>
  <si>
    <r>
      <rPr>
        <sz val="10"/>
        <color theme="1"/>
        <rFont val="宋体"/>
        <charset val="134"/>
      </rPr>
      <t>锡粒</t>
    </r>
  </si>
  <si>
    <t>Sn</t>
  </si>
  <si>
    <r>
      <rPr>
        <sz val="10"/>
        <color theme="1"/>
        <rFont val="宋体"/>
        <charset val="134"/>
      </rPr>
      <t>工业氢氧化钙</t>
    </r>
  </si>
  <si>
    <t>1305-62-0</t>
  </si>
  <si>
    <r>
      <rPr>
        <sz val="10"/>
        <color theme="1"/>
        <rFont val="宋体"/>
        <charset val="134"/>
      </rPr>
      <t>二氧化硅</t>
    </r>
  </si>
  <si>
    <t>14808-60-7</t>
  </si>
  <si>
    <t>SiO2</t>
  </si>
  <si>
    <r>
      <rPr>
        <sz val="10"/>
        <color theme="1"/>
        <rFont val="宋体"/>
        <charset val="134"/>
      </rPr>
      <t>氢氧化钠（粒）</t>
    </r>
  </si>
  <si>
    <r>
      <rPr>
        <sz val="10"/>
        <color rgb="FF000000"/>
        <rFont val="宋体"/>
        <charset val="134"/>
      </rPr>
      <t>高岭土</t>
    </r>
  </si>
  <si>
    <t>1332-58-7</t>
  </si>
  <si>
    <r>
      <rPr>
        <sz val="10"/>
        <color rgb="FF000000"/>
        <rFont val="宋体"/>
        <charset val="134"/>
      </rPr>
      <t>活性炭</t>
    </r>
  </si>
  <si>
    <t>64356-11-3</t>
  </si>
  <si>
    <r>
      <rPr>
        <sz val="10"/>
        <color rgb="FF000000"/>
        <rFont val="宋体"/>
        <charset val="134"/>
      </rPr>
      <t>氢氧化钠</t>
    </r>
  </si>
  <si>
    <r>
      <rPr>
        <sz val="10"/>
        <color rgb="FF000000"/>
        <rFont val="宋体"/>
        <charset val="134"/>
      </rPr>
      <t>氢氧化钾</t>
    </r>
  </si>
  <si>
    <r>
      <rPr>
        <sz val="10"/>
        <color rgb="FF000000"/>
        <rFont val="宋体"/>
        <charset val="134"/>
      </rPr>
      <t>中性氧化铝</t>
    </r>
  </si>
  <si>
    <t>Al2O3</t>
  </si>
  <si>
    <r>
      <rPr>
        <sz val="10"/>
        <color rgb="FF000000"/>
        <rFont val="宋体"/>
        <charset val="134"/>
      </rPr>
      <t>锌粒</t>
    </r>
  </si>
  <si>
    <r>
      <rPr>
        <sz val="10"/>
        <color theme="1"/>
        <rFont val="宋体"/>
        <charset val="134"/>
      </rPr>
      <t>氨水</t>
    </r>
  </si>
  <si>
    <t>1336-21-6</t>
  </si>
  <si>
    <t>NH3`H2O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</si>
  <si>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二号柜下</t>
    </r>
  </si>
  <si>
    <t>12190-71-5</t>
  </si>
  <si>
    <t>I2</t>
  </si>
  <si>
    <r>
      <rPr>
        <sz val="10"/>
        <color theme="1"/>
        <rFont val="宋体"/>
        <charset val="134"/>
      </rPr>
      <t>氢氧化钙</t>
    </r>
  </si>
  <si>
    <r>
      <rPr>
        <sz val="10"/>
        <color theme="1"/>
        <rFont val="宋体"/>
        <charset val="134"/>
      </rPr>
      <t>氢氧化钠</t>
    </r>
  </si>
  <si>
    <t>NH3·H2O</t>
  </si>
  <si>
    <r>
      <rPr>
        <sz val="10"/>
        <color indexed="8"/>
        <rFont val="Times New Roman"/>
        <charset val="134"/>
      </rPr>
      <t>201</t>
    </r>
    <r>
      <rPr>
        <sz val="10"/>
        <color indexed="8"/>
        <rFont val="宋体"/>
        <charset val="134"/>
      </rPr>
      <t>二号柜下</t>
    </r>
  </si>
  <si>
    <r>
      <rPr>
        <sz val="10"/>
        <color rgb="FF000000"/>
        <rFont val="宋体"/>
        <charset val="134"/>
      </rPr>
      <t>薄层层析硅胶</t>
    </r>
  </si>
  <si>
    <t>氨水</t>
  </si>
  <si>
    <t xml:space="preserve">         NaOH</t>
  </si>
  <si>
    <r>
      <rPr>
        <sz val="10"/>
        <color theme="1"/>
        <rFont val="宋体"/>
        <charset val="134"/>
      </rPr>
      <t>十六烷基三甲基溴化铵</t>
    </r>
  </si>
  <si>
    <t>57-09-0</t>
  </si>
  <si>
    <r>
      <rPr>
        <sz val="10"/>
        <color rgb="FF000000"/>
        <rFont val="宋体"/>
        <charset val="134"/>
      </rPr>
      <t>二硫四氧酸钠</t>
    </r>
  </si>
  <si>
    <r>
      <rPr>
        <sz val="10"/>
        <color rgb="FF000000"/>
        <rFont val="宋体"/>
        <charset val="134"/>
      </rPr>
      <t>硫酸铜</t>
    </r>
  </si>
  <si>
    <t>7758-99-8</t>
  </si>
  <si>
    <r>
      <rPr>
        <sz val="10"/>
        <color indexed="8"/>
        <rFont val="宋体"/>
        <charset val="134"/>
      </rPr>
      <t>无机物类</t>
    </r>
  </si>
  <si>
    <t>碳化钙</t>
  </si>
  <si>
    <t>75-20-7</t>
  </si>
  <si>
    <t>CaC2</t>
  </si>
  <si>
    <r>
      <rPr>
        <sz val="10"/>
        <color theme="1"/>
        <rFont val="宋体"/>
        <charset val="134"/>
      </rPr>
      <t>氯化锂</t>
    </r>
  </si>
  <si>
    <t>7447-41-8</t>
  </si>
  <si>
    <t>LiCl</t>
  </si>
  <si>
    <r>
      <rPr>
        <sz val="10"/>
        <color theme="1"/>
        <rFont val="宋体"/>
        <charset val="134"/>
      </rPr>
      <t>亚硝酸钠</t>
    </r>
  </si>
  <si>
    <t>1632-00-0</t>
  </si>
  <si>
    <t>NaNO2</t>
  </si>
  <si>
    <r>
      <rPr>
        <sz val="10"/>
        <color theme="1"/>
        <rFont val="宋体"/>
        <charset val="134"/>
      </rPr>
      <t>硫化钙</t>
    </r>
  </si>
  <si>
    <t>20548-54-3</t>
  </si>
  <si>
    <t>SCa</t>
  </si>
  <si>
    <r>
      <rPr>
        <sz val="10"/>
        <color theme="1"/>
        <rFont val="宋体"/>
        <charset val="134"/>
      </rPr>
      <t>六水合硝酸铕</t>
    </r>
  </si>
  <si>
    <t>10031-53-5</t>
  </si>
  <si>
    <t>Eu(NO3)3·6H2O</t>
  </si>
  <si>
    <r>
      <rPr>
        <sz val="10"/>
        <color theme="1"/>
        <rFont val="宋体"/>
        <charset val="134"/>
      </rPr>
      <t>氯金酸钠二水物</t>
    </r>
  </si>
  <si>
    <t>13874-02-7</t>
  </si>
  <si>
    <r>
      <rPr>
        <sz val="10"/>
        <color theme="1"/>
        <rFont val="宋体"/>
        <charset val="134"/>
      </rPr>
      <t>氯化锌</t>
    </r>
  </si>
  <si>
    <t>7646-85-7</t>
  </si>
  <si>
    <t>ZnCl2</t>
  </si>
  <si>
    <t>2.5g</t>
  </si>
  <si>
    <r>
      <rPr>
        <sz val="10"/>
        <color rgb="FF000000"/>
        <rFont val="宋体"/>
        <charset val="134"/>
      </rPr>
      <t>氟铝酸铵</t>
    </r>
  </si>
  <si>
    <r>
      <rPr>
        <sz val="10"/>
        <color rgb="FF000000"/>
        <rFont val="宋体"/>
        <charset val="134"/>
      </rPr>
      <t>盐酸二甲双胍</t>
    </r>
  </si>
  <si>
    <t>1115-70-4</t>
  </si>
  <si>
    <r>
      <rPr>
        <sz val="10"/>
        <color rgb="FF000000"/>
        <rFont val="Times New Roman"/>
        <charset val="134"/>
      </rPr>
      <t>201</t>
    </r>
    <r>
      <rPr>
        <sz val="10"/>
        <color rgb="FF000000"/>
        <rFont val="宋体"/>
        <charset val="134"/>
      </rPr>
      <t>冰箱内二层</t>
    </r>
  </si>
  <si>
    <r>
      <rPr>
        <sz val="10"/>
        <color rgb="FF000000"/>
        <rFont val="宋体"/>
        <charset val="134"/>
      </rPr>
      <t>六水合硝酸铕</t>
    </r>
  </si>
  <si>
    <t>Eu(NO3)3.6H2O</t>
  </si>
  <si>
    <r>
      <rPr>
        <sz val="10"/>
        <color rgb="FF000000"/>
        <rFont val="宋体"/>
        <charset val="134"/>
      </rPr>
      <t>高氯酸</t>
    </r>
  </si>
  <si>
    <t>7601-90-3</t>
  </si>
  <si>
    <t>0.5mol/L</t>
  </si>
  <si>
    <r>
      <rPr>
        <sz val="10"/>
        <color rgb="FF000000"/>
        <rFont val="宋体"/>
        <charset val="0"/>
      </rPr>
      <t>四丁基氢氧化铵</t>
    </r>
    <r>
      <rPr>
        <sz val="10"/>
        <color rgb="FF000000"/>
        <rFont val="Times New Roman"/>
        <charset val="0"/>
      </rPr>
      <t>30</t>
    </r>
    <r>
      <rPr>
        <sz val="10"/>
        <color rgb="FF000000"/>
        <rFont val="宋体"/>
        <charset val="134"/>
      </rPr>
      <t>水合物</t>
    </r>
  </si>
  <si>
    <t>147741-30-8</t>
  </si>
  <si>
    <t>无机物类</t>
  </si>
  <si>
    <t>四丙基氢氧化铵</t>
  </si>
  <si>
    <t>4499-86-9</t>
  </si>
  <si>
    <t>30ml</t>
  </si>
  <si>
    <t>氟化铁</t>
  </si>
  <si>
    <t>7783-50-8</t>
  </si>
  <si>
    <t>羟化四甲铵</t>
  </si>
  <si>
    <t>75-59-2</t>
  </si>
  <si>
    <t>硫酸锆</t>
  </si>
  <si>
    <t>14644-61-2</t>
  </si>
  <si>
    <t>四乙基氢氧化铵</t>
  </si>
  <si>
    <t>77-98-5</t>
  </si>
  <si>
    <t>25% in water</t>
  </si>
  <si>
    <r>
      <rPr>
        <sz val="10"/>
        <color theme="1"/>
        <rFont val="Times New Roman"/>
        <charset val="134"/>
      </rPr>
      <t>1-</t>
    </r>
    <r>
      <rPr>
        <sz val="10"/>
        <color theme="1"/>
        <rFont val="宋体"/>
        <charset val="134"/>
      </rPr>
      <t>氨丙基</t>
    </r>
    <r>
      <rPr>
        <sz val="10"/>
        <color theme="1"/>
        <rFont val="Times New Roman"/>
        <charset val="134"/>
      </rPr>
      <t>-3-</t>
    </r>
    <r>
      <rPr>
        <sz val="10"/>
        <color theme="1"/>
        <rFont val="宋体"/>
        <charset val="134"/>
      </rPr>
      <t>甲基咪唑溴盐</t>
    </r>
  </si>
  <si>
    <t>914770-45-9</t>
  </si>
  <si>
    <r>
      <rPr>
        <sz val="10"/>
        <color rgb="FF000000"/>
        <rFont val="宋体"/>
        <charset val="134"/>
      </rPr>
      <t>无机盐类</t>
    </r>
  </si>
  <si>
    <r>
      <rPr>
        <sz val="10"/>
        <color theme="1"/>
        <rFont val="宋体"/>
        <charset val="134"/>
      </rPr>
      <t>磺酸水杨酸</t>
    </r>
  </si>
  <si>
    <r>
      <rPr>
        <sz val="10"/>
        <color rgb="FF000000"/>
        <rFont val="宋体"/>
        <charset val="134"/>
      </rPr>
      <t>有机酸类</t>
    </r>
  </si>
  <si>
    <r>
      <rPr>
        <sz val="10"/>
        <color rgb="FF000000"/>
        <rFont val="宋体"/>
        <charset val="134"/>
      </rPr>
      <t>乙酰水杨酸</t>
    </r>
  </si>
  <si>
    <t>50-78-2</t>
  </si>
  <si>
    <r>
      <rPr>
        <sz val="10"/>
        <color theme="1"/>
        <rFont val="宋体"/>
        <charset val="134"/>
      </rPr>
      <t>三氟甲烷磺酸</t>
    </r>
  </si>
  <si>
    <t>1493-13-6</t>
  </si>
  <si>
    <r>
      <rPr>
        <sz val="10"/>
        <color theme="1"/>
        <rFont val="宋体"/>
        <charset val="134"/>
      </rPr>
      <t>草酸</t>
    </r>
  </si>
  <si>
    <t>144-62-7</t>
  </si>
  <si>
    <t>L-酪氨酸</t>
  </si>
  <si>
    <t>60-18-4</t>
  </si>
  <si>
    <t>有机酸类</t>
  </si>
  <si>
    <t>间羟基苯甲酸</t>
  </si>
  <si>
    <t>对氨基苯甲酸</t>
  </si>
  <si>
    <t>150-13-0</t>
  </si>
  <si>
    <t>2-吡嗪羧酸</t>
  </si>
  <si>
    <t>98-97-5</t>
  </si>
  <si>
    <t>215木柜上</t>
  </si>
  <si>
    <t>硫代水杨酸</t>
  </si>
  <si>
    <t>147-93-3</t>
  </si>
  <si>
    <t>2-硝基-4-吡啶甲酸</t>
  </si>
  <si>
    <t>33225-74-0</t>
  </si>
  <si>
    <t>对甲基苯甲酸</t>
  </si>
  <si>
    <t>99-94-5</t>
  </si>
  <si>
    <t>4-溴苯甲酸</t>
  </si>
  <si>
    <t>586-76-5</t>
  </si>
  <si>
    <t>丁炔二酸</t>
  </si>
  <si>
    <t>142-45-0</t>
  </si>
  <si>
    <t>4-联苯硼酸</t>
  </si>
  <si>
    <t>5122-94-1</t>
  </si>
  <si>
    <t>2-萘硼酸</t>
  </si>
  <si>
    <t>32316-92-0</t>
  </si>
  <si>
    <r>
      <rPr>
        <sz val="10"/>
        <color rgb="FF000000"/>
        <rFont val="宋体"/>
        <charset val="134"/>
      </rPr>
      <t>羧甲基纤维素钠</t>
    </r>
  </si>
  <si>
    <t>9004-32-4</t>
  </si>
  <si>
    <r>
      <rPr>
        <sz val="10"/>
        <color indexed="8"/>
        <rFont val="宋体"/>
        <charset val="134"/>
      </rPr>
      <t>有机盐类</t>
    </r>
  </si>
  <si>
    <r>
      <rPr>
        <sz val="10"/>
        <color theme="1"/>
        <rFont val="宋体"/>
        <charset val="134"/>
      </rPr>
      <t>乙酸锌</t>
    </r>
  </si>
  <si>
    <t xml:space="preserve">557-34-6 </t>
  </si>
  <si>
    <t>(CH3COO)2Zn</t>
  </si>
  <si>
    <r>
      <rPr>
        <sz val="10"/>
        <color theme="1"/>
        <rFont val="Times New Roman"/>
        <charset val="134"/>
      </rPr>
      <t>500</t>
    </r>
    <r>
      <rPr>
        <sz val="10"/>
        <color theme="1"/>
        <rFont val="宋体"/>
        <charset val="134"/>
      </rPr>
      <t>公分</t>
    </r>
  </si>
  <si>
    <r>
      <rPr>
        <sz val="10"/>
        <color rgb="FF000000"/>
        <rFont val="宋体"/>
        <charset val="134"/>
      </rPr>
      <t>有机盐类</t>
    </r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</si>
  <si>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木柜上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层中</t>
    </r>
  </si>
  <si>
    <r>
      <rPr>
        <sz val="10"/>
        <color theme="1"/>
        <rFont val="宋体"/>
        <charset val="134"/>
      </rPr>
      <t>十二烷基磺酸钠</t>
    </r>
  </si>
  <si>
    <t>2386-53-0</t>
  </si>
  <si>
    <r>
      <rPr>
        <sz val="10"/>
        <color theme="1"/>
        <rFont val="宋体"/>
        <charset val="134"/>
      </rPr>
      <t>甲基丙烯磺酸钠</t>
    </r>
  </si>
  <si>
    <t>1561-92-8</t>
  </si>
  <si>
    <r>
      <rPr>
        <sz val="10"/>
        <color rgb="FF000000"/>
        <rFont val="宋体"/>
        <charset val="134"/>
      </rPr>
      <t>二乙基二硫代氨基甲酸钠</t>
    </r>
  </si>
  <si>
    <t>148-18-5</t>
  </si>
  <si>
    <r>
      <rPr>
        <sz val="10"/>
        <color theme="1"/>
        <rFont val="宋体"/>
        <charset val="134"/>
      </rPr>
      <t>结晶乙酸钠</t>
    </r>
  </si>
  <si>
    <t xml:space="preserve"> 6131-90-4 </t>
  </si>
  <si>
    <r>
      <rPr>
        <sz val="10"/>
        <color theme="1"/>
        <rFont val="宋体"/>
        <charset val="134"/>
      </rPr>
      <t>乙酸钴</t>
    </r>
    <r>
      <rPr>
        <sz val="10"/>
        <color theme="1"/>
        <rFont val="Times New Roman"/>
        <charset val="134"/>
      </rPr>
      <t>·</t>
    </r>
    <r>
      <rPr>
        <sz val="10"/>
        <color theme="1"/>
        <rFont val="宋体"/>
        <charset val="134"/>
      </rPr>
      <t>四水</t>
    </r>
  </si>
  <si>
    <t xml:space="preserve"> 6147-53-1 </t>
  </si>
  <si>
    <r>
      <rPr>
        <sz val="10"/>
        <rFont val="宋体"/>
        <charset val="134"/>
      </rPr>
      <t>甲醇钠</t>
    </r>
  </si>
  <si>
    <t>124-41-4</t>
  </si>
  <si>
    <t>CH3ONa</t>
  </si>
  <si>
    <r>
      <rPr>
        <sz val="10"/>
        <color theme="1"/>
        <rFont val="宋体"/>
        <charset val="134"/>
      </rPr>
      <t>苯甲酸钠</t>
    </r>
  </si>
  <si>
    <t>532-32-1</t>
  </si>
  <si>
    <r>
      <rPr>
        <sz val="10"/>
        <color rgb="FF000000"/>
        <rFont val="宋体"/>
        <charset val="134"/>
      </rPr>
      <t>乙原磺酸钾</t>
    </r>
  </si>
  <si>
    <r>
      <rPr>
        <sz val="10"/>
        <color rgb="FF000000"/>
        <rFont val="Times New Roman"/>
        <charset val="134"/>
      </rPr>
      <t>25</t>
    </r>
    <r>
      <rPr>
        <sz val="10"/>
        <color rgb="FF000000"/>
        <rFont val="宋体"/>
        <charset val="134"/>
      </rPr>
      <t>公分</t>
    </r>
  </si>
  <si>
    <r>
      <rPr>
        <sz val="10"/>
        <color rgb="FF000000"/>
        <rFont val="宋体"/>
        <charset val="134"/>
      </rPr>
      <t>铁氰化钾</t>
    </r>
  </si>
  <si>
    <t>13746-66-2</t>
  </si>
  <si>
    <r>
      <rPr>
        <sz val="10"/>
        <color theme="1"/>
        <rFont val="宋体"/>
        <charset val="134"/>
      </rPr>
      <t>铁氰化钾</t>
    </r>
  </si>
  <si>
    <t>K3[Fe(CN)6]</t>
  </si>
  <si>
    <r>
      <rPr>
        <sz val="10"/>
        <color theme="1"/>
        <rFont val="宋体"/>
        <charset val="134"/>
      </rPr>
      <t>无水乙酸钠</t>
    </r>
  </si>
  <si>
    <t xml:space="preserve"> 127-09-3 </t>
  </si>
  <si>
    <t>CH3COONa</t>
  </si>
  <si>
    <r>
      <rPr>
        <sz val="10"/>
        <color theme="1"/>
        <rFont val="宋体"/>
        <charset val="134"/>
      </rPr>
      <t>二乙基二硫代氨基甲酸钠</t>
    </r>
  </si>
  <si>
    <r>
      <rPr>
        <sz val="10"/>
        <rFont val="宋体"/>
        <charset val="134"/>
      </rPr>
      <t>乙基黄原酸钾</t>
    </r>
  </si>
  <si>
    <t>C3H5KOS2</t>
  </si>
  <si>
    <r>
      <rPr>
        <sz val="10"/>
        <rFont val="宋体"/>
        <charset val="134"/>
      </rPr>
      <t>硫氰酸钾</t>
    </r>
  </si>
  <si>
    <t>CKNS</t>
  </si>
  <si>
    <r>
      <rPr>
        <sz val="10"/>
        <rFont val="宋体"/>
        <charset val="134"/>
      </rPr>
      <t>乙酸锌</t>
    </r>
  </si>
  <si>
    <t>557-34-6</t>
  </si>
  <si>
    <r>
      <rPr>
        <sz val="10"/>
        <color theme="1"/>
        <rFont val="宋体"/>
        <charset val="134"/>
      </rPr>
      <t>四丁基溴化铵</t>
    </r>
  </si>
  <si>
    <t>1643-19-2</t>
  </si>
  <si>
    <r>
      <rPr>
        <sz val="10"/>
        <color theme="1"/>
        <rFont val="宋体"/>
        <charset val="134"/>
      </rPr>
      <t>羧甲基纤维素钠</t>
    </r>
  </si>
  <si>
    <t>127-09-3</t>
  </si>
  <si>
    <r>
      <rPr>
        <sz val="10"/>
        <color theme="1"/>
        <rFont val="宋体"/>
        <charset val="134"/>
      </rPr>
      <t>羧甲基纤维素钠溶液</t>
    </r>
  </si>
  <si>
    <r>
      <rPr>
        <sz val="10"/>
        <color rgb="FF000000"/>
        <rFont val="宋体"/>
        <charset val="134"/>
      </rPr>
      <t>硫氰酸钾</t>
    </r>
  </si>
  <si>
    <t>330-20-0</t>
  </si>
  <si>
    <r>
      <rPr>
        <sz val="10"/>
        <color indexed="8"/>
        <rFont val="宋体"/>
        <charset val="134"/>
      </rPr>
      <t>双三苯基磷二氯化钯</t>
    </r>
  </si>
  <si>
    <t>13965-03-2</t>
  </si>
  <si>
    <r>
      <rPr>
        <sz val="10"/>
        <color theme="1"/>
        <rFont val="宋体"/>
        <charset val="134"/>
      </rPr>
      <t>硫氰酸铵</t>
    </r>
  </si>
  <si>
    <t>1762-95-4</t>
  </si>
  <si>
    <t>CH4N2S</t>
  </si>
  <si>
    <r>
      <rPr>
        <sz val="10"/>
        <color theme="1"/>
        <rFont val="宋体"/>
        <charset val="134"/>
      </rPr>
      <t>叔丁基锂</t>
    </r>
  </si>
  <si>
    <t>504-19-4</t>
  </si>
  <si>
    <t>氢氧化1-丁基-3-甲基咪唑</t>
  </si>
  <si>
    <t>528818-81-7</t>
  </si>
  <si>
    <t>20wt.% in H2O</t>
  </si>
  <si>
    <t>有机盐类</t>
  </si>
  <si>
    <t>四丁基氢氧化铵</t>
  </si>
  <si>
    <t>55% w/w in Water</t>
  </si>
  <si>
    <t>1,2,4-三氨基苯胺二盐酸盐</t>
  </si>
  <si>
    <t>615-47-4</t>
  </si>
  <si>
    <t>乙酰丙酮亚铁</t>
  </si>
  <si>
    <t>14024-17-0</t>
  </si>
  <si>
    <t>苯甲酸钙水合物</t>
  </si>
  <si>
    <t>乙酰丙酮化铁</t>
  </si>
  <si>
    <t>四丁基氢氧化磷</t>
  </si>
  <si>
    <t>14518-69-5</t>
  </si>
  <si>
    <t>氢氧化胆碱</t>
  </si>
  <si>
    <t>123-41-1</t>
  </si>
  <si>
    <t>48-50%</t>
  </si>
  <si>
    <r>
      <rPr>
        <sz val="10"/>
        <color rgb="FF000000"/>
        <rFont val="Times New Roman"/>
        <charset val="0"/>
      </rPr>
      <t>2-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0"/>
      </rPr>
      <t>-4-</t>
    </r>
    <r>
      <rPr>
        <sz val="10"/>
        <color rgb="FF000000"/>
        <rFont val="宋体"/>
        <charset val="134"/>
      </rPr>
      <t>（三氟甲基）苯硫醇</t>
    </r>
  </si>
  <si>
    <t>4274-38-8</t>
  </si>
  <si>
    <t>乙酸银</t>
  </si>
  <si>
    <t>563-63-3</t>
  </si>
  <si>
    <t>氨基甲酸铵</t>
  </si>
  <si>
    <t>1111-78-0</t>
  </si>
  <si>
    <t>氨基钠</t>
  </si>
  <si>
    <t>7782-92-5</t>
  </si>
  <si>
    <r>
      <rPr>
        <sz val="10"/>
        <color rgb="FF000000"/>
        <rFont val="宋体"/>
        <charset val="134"/>
      </rPr>
      <t>丁内酯</t>
    </r>
  </si>
  <si>
    <t>96-48-0</t>
  </si>
  <si>
    <r>
      <rPr>
        <sz val="10"/>
        <color rgb="FF000000"/>
        <rFont val="宋体"/>
        <charset val="134"/>
      </rPr>
      <t>脂类</t>
    </r>
  </si>
  <si>
    <r>
      <rPr>
        <sz val="10"/>
        <color theme="1"/>
        <rFont val="宋体"/>
        <charset val="134"/>
      </rPr>
      <t>苯甲酸三乙酯</t>
    </r>
  </si>
  <si>
    <t>1663-61-2</t>
  </si>
  <si>
    <r>
      <rPr>
        <sz val="10"/>
        <color rgb="FF000000"/>
        <rFont val="宋体"/>
        <charset val="134"/>
      </rPr>
      <t>酯类</t>
    </r>
  </si>
  <si>
    <r>
      <rPr>
        <sz val="10"/>
        <color theme="1"/>
        <rFont val="宋体"/>
        <charset val="134"/>
      </rPr>
      <t>丁酸乙酯</t>
    </r>
  </si>
  <si>
    <t>105-54-4</t>
  </si>
  <si>
    <r>
      <rPr>
        <sz val="10"/>
        <color theme="1"/>
        <rFont val="宋体"/>
        <charset val="134"/>
      </rPr>
      <t>苯甲酸乙酯</t>
    </r>
  </si>
  <si>
    <t xml:space="preserve">93-89-0 </t>
  </si>
  <si>
    <r>
      <rPr>
        <sz val="10"/>
        <color rgb="FF000000"/>
        <rFont val="宋体"/>
        <charset val="134"/>
      </rPr>
      <t>蓖麻油</t>
    </r>
  </si>
  <si>
    <t>8001-79-4</t>
  </si>
  <si>
    <r>
      <rPr>
        <sz val="10"/>
        <color indexed="8"/>
        <rFont val="宋体"/>
        <charset val="134"/>
      </rPr>
      <t>酯类</t>
    </r>
  </si>
  <si>
    <r>
      <rPr>
        <sz val="10"/>
        <color indexed="8"/>
        <rFont val="Times New Roman"/>
        <charset val="134"/>
      </rPr>
      <t>N-</t>
    </r>
    <r>
      <rPr>
        <sz val="10"/>
        <color indexed="8"/>
        <rFont val="宋体"/>
        <charset val="134"/>
      </rPr>
      <t>苯基氨基甲酸甲酯</t>
    </r>
  </si>
  <si>
    <r>
      <rPr>
        <sz val="10"/>
        <color theme="1"/>
        <rFont val="宋体"/>
        <charset val="134"/>
      </rPr>
      <t>碳酸乙烯酯</t>
    </r>
  </si>
  <si>
    <t>96-49-1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</si>
  <si>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</t>
    </r>
    <r>
      <rPr>
        <sz val="10"/>
        <color rgb="FF000000"/>
        <rFont val="Times New Roman"/>
        <charset val="134"/>
      </rPr>
      <t>1</t>
    </r>
    <r>
      <rPr>
        <sz val="10"/>
        <color rgb="FF000000"/>
        <rFont val="宋体"/>
        <charset val="134"/>
      </rPr>
      <t>中</t>
    </r>
  </si>
  <si>
    <r>
      <rPr>
        <sz val="10"/>
        <color theme="1"/>
        <rFont val="宋体"/>
        <charset val="134"/>
      </rPr>
      <t>邻氯苯异氰酸酯</t>
    </r>
  </si>
  <si>
    <t>3320-83-0</t>
  </si>
  <si>
    <r>
      <rPr>
        <sz val="10"/>
        <color theme="1"/>
        <rFont val="宋体"/>
        <charset val="134"/>
      </rPr>
      <t>苯基丙炔酸乙酯</t>
    </r>
  </si>
  <si>
    <t>2216-94-6</t>
  </si>
  <si>
    <r>
      <rPr>
        <sz val="10"/>
        <color theme="1"/>
        <rFont val="宋体"/>
        <charset val="134"/>
      </rPr>
      <t>异硫氰酸</t>
    </r>
    <r>
      <rPr>
        <sz val="10"/>
        <color theme="1"/>
        <rFont val="Times New Roman"/>
        <charset val="134"/>
      </rPr>
      <t>-2-</t>
    </r>
    <r>
      <rPr>
        <sz val="10"/>
        <color theme="1"/>
        <rFont val="宋体"/>
        <charset val="134"/>
      </rPr>
      <t>氯苯酯</t>
    </r>
  </si>
  <si>
    <t>2740-81-0</t>
  </si>
  <si>
    <r>
      <rPr>
        <sz val="10"/>
        <color theme="1"/>
        <rFont val="Times New Roman"/>
        <charset val="134"/>
      </rPr>
      <t>γ-</t>
    </r>
    <r>
      <rPr>
        <sz val="10"/>
        <color theme="1"/>
        <rFont val="宋体"/>
        <charset val="134"/>
      </rPr>
      <t>戊内酯</t>
    </r>
  </si>
  <si>
    <t>108-29-2</t>
  </si>
  <si>
    <r>
      <rPr>
        <sz val="10"/>
        <color theme="1"/>
        <rFont val="宋体"/>
        <charset val="134"/>
      </rPr>
      <t>单甘酯</t>
    </r>
  </si>
  <si>
    <t>123-94-4</t>
  </si>
  <si>
    <t>750g</t>
  </si>
  <si>
    <r>
      <rPr>
        <sz val="10"/>
        <color theme="1"/>
        <rFont val="宋体"/>
        <charset val="134"/>
      </rPr>
      <t>磷酸三丁酯</t>
    </r>
  </si>
  <si>
    <t>126-73-8</t>
  </si>
  <si>
    <r>
      <rPr>
        <sz val="10"/>
        <color rgb="FF000000"/>
        <rFont val="宋体"/>
        <charset val="134"/>
      </rPr>
      <t>异硫氰酸苯酯</t>
    </r>
  </si>
  <si>
    <t>103-72-0</t>
  </si>
  <si>
    <r>
      <rPr>
        <sz val="10"/>
        <color rgb="FF000000"/>
        <rFont val="Times New Roman"/>
        <charset val="134"/>
      </rPr>
      <t>215</t>
    </r>
    <r>
      <rPr>
        <sz val="10"/>
        <color rgb="FF000000"/>
        <rFont val="宋体"/>
        <charset val="134"/>
      </rPr>
      <t>木柜下中</t>
    </r>
    <r>
      <rPr>
        <sz val="10"/>
        <color rgb="FF000000"/>
        <rFont val="Times New Roman"/>
        <charset val="134"/>
      </rPr>
      <t>2</t>
    </r>
  </si>
  <si>
    <r>
      <rPr>
        <sz val="10"/>
        <color theme="1"/>
        <rFont val="宋体"/>
        <charset val="134"/>
      </rPr>
      <t>次氯酸叔丁酯</t>
    </r>
  </si>
  <si>
    <t>507-40-4</t>
  </si>
  <si>
    <r>
      <rPr>
        <sz val="10"/>
        <color theme="1"/>
        <rFont val="宋体"/>
        <charset val="134"/>
      </rPr>
      <t>三羟甲基丙烷三丙烯酸酯</t>
    </r>
  </si>
  <si>
    <t>15625-89-5</t>
  </si>
  <si>
    <r>
      <rPr>
        <sz val="10"/>
        <color theme="1"/>
        <rFont val="宋体"/>
        <charset val="134"/>
      </rPr>
      <t>乙酸己酯</t>
    </r>
  </si>
  <si>
    <t>142-92-7</t>
  </si>
  <si>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，</t>
    </r>
    <r>
      <rPr>
        <sz val="10"/>
        <color rgb="FF000000"/>
        <rFont val="Times New Roman"/>
        <charset val="134"/>
      </rPr>
      <t>4-</t>
    </r>
    <r>
      <rPr>
        <sz val="10"/>
        <color rgb="FF000000"/>
        <rFont val="宋体"/>
        <charset val="134"/>
      </rPr>
      <t>二氨基苯甲酸乙酯</t>
    </r>
  </si>
  <si>
    <t>37466-90-3</t>
  </si>
  <si>
    <r>
      <rPr>
        <sz val="10"/>
        <color rgb="FF000000"/>
        <rFont val="Times New Roman"/>
        <charset val="134"/>
      </rPr>
      <t>3-[</t>
    </r>
    <r>
      <rPr>
        <sz val="10"/>
        <color rgb="FF000000"/>
        <rFont val="宋体"/>
        <charset val="134"/>
      </rPr>
      <t>（</t>
    </r>
    <r>
      <rPr>
        <sz val="10"/>
        <color rgb="FF000000"/>
        <rFont val="Times New Roman"/>
        <charset val="134"/>
      </rPr>
      <t>3-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134"/>
      </rPr>
      <t>-4-</t>
    </r>
    <r>
      <rPr>
        <sz val="10"/>
        <color rgb="FF000000"/>
        <rFont val="宋体"/>
        <charset val="134"/>
      </rPr>
      <t>甲基氨基苯甲酰）吡啶</t>
    </r>
    <r>
      <rPr>
        <sz val="10"/>
        <color rgb="FF000000"/>
        <rFont val="Times New Roman"/>
        <charset val="134"/>
      </rPr>
      <t>-2-</t>
    </r>
    <r>
      <rPr>
        <sz val="10"/>
        <color rgb="FF000000"/>
        <rFont val="宋体"/>
        <charset val="134"/>
      </rPr>
      <t>基氨基</t>
    </r>
    <r>
      <rPr>
        <sz val="10"/>
        <color rgb="FF000000"/>
        <rFont val="Times New Roman"/>
        <charset val="134"/>
      </rPr>
      <t>]</t>
    </r>
    <r>
      <rPr>
        <sz val="10"/>
        <color rgb="FF000000"/>
        <rFont val="宋体"/>
        <charset val="134"/>
      </rPr>
      <t>丙酸乙酯</t>
    </r>
  </si>
  <si>
    <t>212322-56-0</t>
  </si>
  <si>
    <t>乙酰乙酸乙酯</t>
  </si>
  <si>
    <t>141-97-9</t>
  </si>
  <si>
    <t>酯类</t>
  </si>
  <si>
    <t>4-碘-3-硝基苯甲酸甲酯</t>
  </si>
  <si>
    <t>89976-27-2</t>
  </si>
  <si>
    <r>
      <rPr>
        <sz val="10"/>
        <color rgb="FF000000"/>
        <rFont val="Times New Roman"/>
        <charset val="0"/>
      </rPr>
      <t>4-</t>
    </r>
    <r>
      <rPr>
        <sz val="10"/>
        <color rgb="FF000000"/>
        <rFont val="宋体"/>
        <charset val="134"/>
      </rPr>
      <t>氨基</t>
    </r>
    <r>
      <rPr>
        <sz val="10"/>
        <color rgb="FF000000"/>
        <rFont val="Times New Roman"/>
        <charset val="0"/>
      </rPr>
      <t>-3-</t>
    </r>
    <r>
      <rPr>
        <sz val="10"/>
        <color rgb="FF000000"/>
        <rFont val="宋体"/>
        <charset val="134"/>
      </rPr>
      <t>碘苯甲酸甲酯</t>
    </r>
  </si>
  <si>
    <t>19718-49-1</t>
  </si>
  <si>
    <t>对甲苯异氰酸酯</t>
  </si>
  <si>
    <t>622-58-2</t>
  </si>
  <si>
    <t>邻甲苯异氰酸酯</t>
  </si>
  <si>
    <t>614-68-6</t>
  </si>
  <si>
    <t>二碳酸二叔丁酯</t>
  </si>
  <si>
    <t>24424-99-5</t>
  </si>
  <si>
    <t>三油酸甘油酯</t>
  </si>
  <si>
    <t>122-32-7</t>
  </si>
  <si>
    <t>对甲氧基苯甲酸乙酯</t>
  </si>
  <si>
    <t>94-30-4</t>
  </si>
  <si>
    <t>异丁酰乙酸乙酯</t>
  </si>
  <si>
    <t>7152-15-0</t>
  </si>
  <si>
    <t>甲酸甲酯</t>
  </si>
  <si>
    <t>107-31-3</t>
  </si>
  <si>
    <t>糠酸乙酯</t>
  </si>
  <si>
    <t>1335-40-6</t>
  </si>
  <si>
    <t>三氟乙酸乙酯</t>
  </si>
  <si>
    <t>383-63-1</t>
  </si>
  <si>
    <r>
      <rPr>
        <sz val="10"/>
        <color rgb="FF000000"/>
        <rFont val="宋体"/>
        <charset val="134"/>
      </rPr>
      <t>电子清洗剂</t>
    </r>
    <r>
      <rPr>
        <sz val="10"/>
        <color rgb="FF000000"/>
        <rFont val="Times New Roman"/>
        <charset val="134"/>
      </rPr>
      <t>C</t>
    </r>
    <r>
      <rPr>
        <sz val="10"/>
        <color rgb="FF000000"/>
        <rFont val="宋体"/>
        <charset val="134"/>
      </rPr>
      <t>型</t>
    </r>
  </si>
  <si>
    <r>
      <rPr>
        <sz val="10"/>
        <color rgb="FF000000"/>
        <rFont val="宋体"/>
        <charset val="134"/>
      </rPr>
      <t>氮甲基吡咯烷酮</t>
    </r>
  </si>
  <si>
    <r>
      <rPr>
        <sz val="10"/>
        <color rgb="FF000000"/>
        <rFont val="宋体"/>
        <charset val="134"/>
      </rPr>
      <t>乙酸酐</t>
    </r>
  </si>
  <si>
    <t>108-24-7</t>
  </si>
  <si>
    <r>
      <rPr>
        <sz val="10"/>
        <color rgb="FF000000"/>
        <rFont val="宋体"/>
        <charset val="134"/>
      </rPr>
      <t>乙硫醇甘</t>
    </r>
  </si>
  <si>
    <t>藜芦酸</t>
  </si>
  <si>
    <t>93--07-2</t>
  </si>
  <si>
    <t>邻二氯苄</t>
  </si>
  <si>
    <t>612-12-4</t>
  </si>
  <si>
    <t>2-甲基-3-丁炔-2-胺</t>
  </si>
  <si>
    <t>90+％</t>
  </si>
  <si>
    <t>异丁胺</t>
  </si>
  <si>
    <t>二环己胺</t>
  </si>
  <si>
    <t>101-83-7</t>
  </si>
  <si>
    <t>N-丁基苄胺</t>
  </si>
  <si>
    <t>2403-22-7</t>
  </si>
  <si>
    <t>1ml</t>
  </si>
  <si>
    <t>N-甲基乙胺</t>
  </si>
  <si>
    <t>624-78-2</t>
  </si>
  <si>
    <t>N-苄基环丙胺</t>
  </si>
  <si>
    <t>13324-66-8</t>
  </si>
  <si>
    <t>N-乙基环己胺</t>
  </si>
  <si>
    <t>5459-93-8</t>
  </si>
  <si>
    <t>α,α-二甲基苄胺</t>
  </si>
  <si>
    <t>585-32-0</t>
  </si>
  <si>
    <t>对甲苯磺酰胺</t>
  </si>
  <si>
    <t>70-55-3</t>
  </si>
  <si>
    <t>4-氨基-3-碘苯甲酸甲酯</t>
  </si>
  <si>
    <t>邻碘苯胺类</t>
  </si>
  <si>
    <t>216冰箱3层</t>
  </si>
  <si>
    <t>4-氨基-3-碘三氟甲苯</t>
  </si>
  <si>
    <t>5-氯-2-碘苯胺</t>
  </si>
  <si>
    <t>6828-35-9</t>
  </si>
  <si>
    <t>2-氨基-3-碘吡啶</t>
  </si>
  <si>
    <t>2-碘吡啶-3-胺</t>
  </si>
  <si>
    <t>209286-97-5</t>
  </si>
  <si>
    <t>3-碘萘-2-胺</t>
  </si>
  <si>
    <t>116632-14-5</t>
  </si>
  <si>
    <t>250mg</t>
  </si>
  <si>
    <t>4-(叔丁基)-2-碘苯胺</t>
  </si>
  <si>
    <t>128318-63-8</t>
  </si>
  <si>
    <t>2-碘-3-甲基苯胺</t>
  </si>
  <si>
    <t>89938-16-9</t>
  </si>
  <si>
    <t>2-氯-6-碘苯胺</t>
  </si>
  <si>
    <t>84483-28-3</t>
  </si>
  <si>
    <t>4-碘-3-硝基苯甲腈</t>
  </si>
  <si>
    <t>101420-79-5</t>
  </si>
  <si>
    <t>4-碘-3-硝基苯酚</t>
  </si>
  <si>
    <t>113305-56-9</t>
  </si>
  <si>
    <t>2-碘-4-甲氧基-1-硝基苯</t>
  </si>
  <si>
    <t>214279-40-0</t>
  </si>
  <si>
    <t>3-碘-2-硝基吡啶</t>
  </si>
  <si>
    <t>54231-34-4</t>
  </si>
  <si>
    <t>3-碘-4-硝基甲苯</t>
  </si>
  <si>
    <t>52488-29-6</t>
  </si>
  <si>
    <t>4-溴-2-碘-1-硝基苯</t>
  </si>
  <si>
    <t>343864-78-8</t>
  </si>
  <si>
    <t>三乙烯四胺</t>
  </si>
  <si>
    <t>112-24-3</t>
  </si>
  <si>
    <t>201冰箱上层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</si>
</sst>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176" formatCode="_ * #,##0.00_ ;_ * \-#,##0.00_ ;_ * &quot;-&quot;??_ ;_ @_ "/>
    <numFmt numFmtId="177" formatCode="_ &quot;￥&quot;* #,##0.00_ ;_ &quot;￥&quot;* \-#,##0.00_ ;_ &quot;￥&quot;* &quot;-&quot;??_ ;_ @_ "/>
    <numFmt numFmtId="178" formatCode="_ * #,##0_ ;_ * \-#,##0_ ;_ * &quot;-&quot;_ ;_ @_ "/>
    <numFmt numFmtId="179" formatCode="_ &quot;￥&quot;* #,##0_ ;_ &quot;￥&quot;* \-#,##0_ ;_ &quot;￥&quot;* &quot;-&quot;_ ;_ @_ "/>
  </numFmts>
  <fonts count="57">
    <font>
      <sz val="11"/>
      <color theme="1"/>
      <name val="微软雅黑"/>
      <charset val="134"/>
    </font>
    <font>
      <sz val="12"/>
      <color indexed="8"/>
      <name val="微软雅黑"/>
      <charset val="134"/>
    </font>
    <font>
      <sz val="10"/>
      <color indexed="8"/>
      <name val="Times New Roman"/>
      <charset val="134"/>
    </font>
    <font>
      <sz val="10"/>
      <color theme="1"/>
      <name val="Times New Roman"/>
      <charset val="134"/>
    </font>
    <font>
      <sz val="12"/>
      <color theme="1"/>
      <name val="微软雅黑"/>
      <charset val="134"/>
    </font>
    <font>
      <sz val="10"/>
      <color rgb="FF000000"/>
      <name val="Times New Roman"/>
      <charset val="134"/>
    </font>
    <font>
      <sz val="10"/>
      <name val="Times New Roman"/>
      <charset val="134"/>
    </font>
    <font>
      <sz val="10"/>
      <color rgb="FF222222"/>
      <name val="Times New Roman"/>
      <charset val="134"/>
    </font>
    <font>
      <sz val="10"/>
      <color rgb="FF000000"/>
      <name val="Times New Roman"/>
      <charset val="0"/>
    </font>
    <font>
      <sz val="10"/>
      <color rgb="FF333333"/>
      <name val="Times New Roman"/>
      <charset val="134"/>
    </font>
    <font>
      <sz val="12"/>
      <color rgb="FF000000"/>
      <name val="微软雅黑"/>
      <charset val="134"/>
    </font>
    <font>
      <sz val="12"/>
      <name val="微软雅黑"/>
      <charset val="134"/>
    </font>
    <font>
      <sz val="9.75"/>
      <color rgb="FF000000"/>
      <name val="Times New Roman"/>
      <charset val="134"/>
    </font>
    <font>
      <sz val="10"/>
      <color rgb="FF000000"/>
      <name val="宋体"/>
      <charset val="0"/>
    </font>
    <font>
      <sz val="10.5"/>
      <color theme="1"/>
      <name val="Times New Roman"/>
      <charset val="134"/>
    </font>
    <font>
      <sz val="10"/>
      <color rgb="FF222222"/>
      <name val="Times New Roman"/>
      <charset val="0"/>
    </font>
    <font>
      <sz val="9.75"/>
      <color rgb="FF0066CC"/>
      <name val="Arial"/>
      <charset val="134"/>
    </font>
    <font>
      <b/>
      <sz val="10"/>
      <color theme="1"/>
      <name val="Times New Roman"/>
      <charset val="134"/>
    </font>
    <font>
      <sz val="10"/>
      <color rgb="FFFF0000"/>
      <name val="Times New Roman"/>
      <charset val="134"/>
    </font>
    <font>
      <sz val="10"/>
      <color rgb="FF000000"/>
      <name val="宋体"/>
      <charset val="134"/>
    </font>
    <font>
      <sz val="10"/>
      <color rgb="FFFF7300"/>
      <name val="Times New Roman"/>
      <charset val="134"/>
    </font>
    <font>
      <sz val="9.75"/>
      <color rgb="FF222222"/>
      <name val="Times New Roman"/>
      <charset val="134"/>
    </font>
    <font>
      <u/>
      <sz val="10"/>
      <color rgb="FF0000FF"/>
      <name val="Times New Roman"/>
      <charset val="0"/>
    </font>
    <font>
      <sz val="10"/>
      <color rgb="FF333333"/>
      <name val="Times New Roman"/>
      <charset val="0"/>
    </font>
    <font>
      <sz val="9.75"/>
      <color rgb="FF222222"/>
      <name val="Arial"/>
      <charset val="134"/>
    </font>
    <font>
      <sz val="11"/>
      <color rgb="FF000000"/>
      <name val="微软雅黑"/>
      <charset val="134"/>
    </font>
    <font>
      <sz val="10"/>
      <color theme="1"/>
      <name val="宋体"/>
      <charset val="134"/>
    </font>
    <font>
      <sz val="10.5"/>
      <color rgb="FF000000"/>
      <name val="Times New Roman"/>
      <charset val="134"/>
    </font>
    <font>
      <sz val="10.5"/>
      <color rgb="FF333333"/>
      <name val="Arial"/>
      <charset val="134"/>
    </font>
    <font>
      <sz val="10"/>
      <color rgb="FF999999"/>
      <name val="Times New Roman"/>
      <charset val="134"/>
    </font>
    <font>
      <sz val="9"/>
      <color rgb="FF343434"/>
      <name val="Microsoft YaHei"/>
      <charset val="134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0"/>
      <color indexed="8"/>
      <name val="宋体"/>
      <charset val="134"/>
    </font>
    <font>
      <sz val="10"/>
      <name val="宋体"/>
      <charset val="134"/>
    </font>
    <font>
      <sz val="9.75"/>
      <color rgb="FF000000"/>
      <name val="宋体"/>
      <charset val="134"/>
    </font>
    <font>
      <vertAlign val="subscript"/>
      <sz val="10"/>
      <color rgb="FF000000"/>
      <name val="Times New Roman"/>
      <charset val="134"/>
    </font>
    <font>
      <sz val="10"/>
      <color rgb="FFFF7300"/>
      <name val="宋体"/>
      <charset val="134"/>
    </font>
    <font>
      <sz val="10"/>
      <color rgb="FFFF0000"/>
      <name val="宋体"/>
      <charset val="134"/>
    </font>
    <font>
      <vertAlign val="subscript"/>
      <sz val="10"/>
      <color theme="1"/>
      <name val="Times New Roman"/>
      <charset val="134"/>
    </font>
  </fonts>
  <fills count="34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17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3" borderId="9" applyNumberFormat="0" applyFon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0" applyNumberFormat="0" applyFill="0" applyAlignment="0" applyProtection="0">
      <alignment vertical="center"/>
    </xf>
    <xf numFmtId="0" fontId="37" fillId="0" borderId="10" applyNumberFormat="0" applyFill="0" applyAlignment="0" applyProtection="0">
      <alignment vertical="center"/>
    </xf>
    <xf numFmtId="0" fontId="38" fillId="0" borderId="11" applyNumberFormat="0" applyFill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4" borderId="12" applyNumberFormat="0" applyAlignment="0" applyProtection="0">
      <alignment vertical="center"/>
    </xf>
    <xf numFmtId="0" fontId="40" fillId="5" borderId="13" applyNumberFormat="0" applyAlignment="0" applyProtection="0">
      <alignment vertical="center"/>
    </xf>
    <xf numFmtId="0" fontId="41" fillId="5" borderId="12" applyNumberFormat="0" applyAlignment="0" applyProtection="0">
      <alignment vertical="center"/>
    </xf>
    <xf numFmtId="0" fontId="42" fillId="6" borderId="14" applyNumberFormat="0" applyAlignment="0" applyProtection="0">
      <alignment vertical="center"/>
    </xf>
    <xf numFmtId="0" fontId="43" fillId="0" borderId="15" applyNumberFormat="0" applyFill="0" applyAlignment="0" applyProtection="0">
      <alignment vertical="center"/>
    </xf>
    <xf numFmtId="0" fontId="44" fillId="0" borderId="16" applyNumberFormat="0" applyFill="0" applyAlignment="0" applyProtection="0">
      <alignment vertical="center"/>
    </xf>
    <xf numFmtId="0" fontId="45" fillId="7" borderId="0" applyNumberFormat="0" applyBorder="0" applyAlignment="0" applyProtection="0">
      <alignment vertical="center"/>
    </xf>
    <xf numFmtId="0" fontId="46" fillId="8" borderId="0" applyNumberFormat="0" applyBorder="0" applyAlignment="0" applyProtection="0">
      <alignment vertical="center"/>
    </xf>
    <xf numFmtId="0" fontId="47" fillId="9" borderId="0" applyNumberFormat="0" applyBorder="0" applyAlignment="0" applyProtection="0">
      <alignment vertical="center"/>
    </xf>
    <xf numFmtId="0" fontId="48" fillId="10" borderId="0" applyNumberFormat="0" applyBorder="0" applyAlignment="0" applyProtection="0">
      <alignment vertical="center"/>
    </xf>
    <xf numFmtId="0" fontId="49" fillId="11" borderId="0" applyNumberFormat="0" applyBorder="0" applyAlignment="0" applyProtection="0">
      <alignment vertical="center"/>
    </xf>
    <xf numFmtId="0" fontId="49" fillId="12" borderId="0" applyNumberFormat="0" applyBorder="0" applyAlignment="0" applyProtection="0">
      <alignment vertical="center"/>
    </xf>
    <xf numFmtId="0" fontId="48" fillId="13" borderId="0" applyNumberFormat="0" applyBorder="0" applyAlignment="0" applyProtection="0">
      <alignment vertical="center"/>
    </xf>
    <xf numFmtId="0" fontId="48" fillId="14" borderId="0" applyNumberFormat="0" applyBorder="0" applyAlignment="0" applyProtection="0">
      <alignment vertical="center"/>
    </xf>
    <xf numFmtId="0" fontId="49" fillId="15" borderId="0" applyNumberFormat="0" applyBorder="0" applyAlignment="0" applyProtection="0">
      <alignment vertical="center"/>
    </xf>
    <xf numFmtId="0" fontId="49" fillId="16" borderId="0" applyNumberFormat="0" applyBorder="0" applyAlignment="0" applyProtection="0">
      <alignment vertical="center"/>
    </xf>
    <xf numFmtId="0" fontId="48" fillId="17" borderId="0" applyNumberFormat="0" applyBorder="0" applyAlignment="0" applyProtection="0">
      <alignment vertical="center"/>
    </xf>
    <xf numFmtId="0" fontId="48" fillId="18" borderId="0" applyNumberFormat="0" applyBorder="0" applyAlignment="0" applyProtection="0">
      <alignment vertical="center"/>
    </xf>
    <xf numFmtId="0" fontId="49" fillId="19" borderId="0" applyNumberFormat="0" applyBorder="0" applyAlignment="0" applyProtection="0">
      <alignment vertical="center"/>
    </xf>
    <xf numFmtId="0" fontId="49" fillId="20" borderId="0" applyNumberFormat="0" applyBorder="0" applyAlignment="0" applyProtection="0">
      <alignment vertical="center"/>
    </xf>
    <xf numFmtId="0" fontId="48" fillId="21" borderId="0" applyNumberFormat="0" applyBorder="0" applyAlignment="0" applyProtection="0">
      <alignment vertical="center"/>
    </xf>
    <xf numFmtId="0" fontId="48" fillId="22" borderId="0" applyNumberFormat="0" applyBorder="0" applyAlignment="0" applyProtection="0">
      <alignment vertical="center"/>
    </xf>
    <xf numFmtId="0" fontId="49" fillId="23" borderId="0" applyNumberFormat="0" applyBorder="0" applyAlignment="0" applyProtection="0">
      <alignment vertical="center"/>
    </xf>
    <xf numFmtId="0" fontId="49" fillId="24" borderId="0" applyNumberFormat="0" applyBorder="0" applyAlignment="0" applyProtection="0">
      <alignment vertical="center"/>
    </xf>
    <xf numFmtId="0" fontId="48" fillId="25" borderId="0" applyNumberFormat="0" applyBorder="0" applyAlignment="0" applyProtection="0">
      <alignment vertical="center"/>
    </xf>
    <xf numFmtId="0" fontId="48" fillId="26" borderId="0" applyNumberFormat="0" applyBorder="0" applyAlignment="0" applyProtection="0">
      <alignment vertical="center"/>
    </xf>
    <xf numFmtId="0" fontId="49" fillId="27" borderId="0" applyNumberFormat="0" applyBorder="0" applyAlignment="0" applyProtection="0">
      <alignment vertical="center"/>
    </xf>
    <xf numFmtId="0" fontId="49" fillId="28" borderId="0" applyNumberFormat="0" applyBorder="0" applyAlignment="0" applyProtection="0">
      <alignment vertical="center"/>
    </xf>
    <xf numFmtId="0" fontId="48" fillId="29" borderId="0" applyNumberFormat="0" applyBorder="0" applyAlignment="0" applyProtection="0">
      <alignment vertical="center"/>
    </xf>
    <xf numFmtId="0" fontId="48" fillId="30" borderId="0" applyNumberFormat="0" applyBorder="0" applyAlignment="0" applyProtection="0">
      <alignment vertical="center"/>
    </xf>
    <xf numFmtId="0" fontId="49" fillId="31" borderId="0" applyNumberFormat="0" applyBorder="0" applyAlignment="0" applyProtection="0">
      <alignment vertical="center"/>
    </xf>
    <xf numFmtId="0" fontId="49" fillId="32" borderId="0" applyNumberFormat="0" applyBorder="0" applyAlignment="0" applyProtection="0">
      <alignment vertical="center"/>
    </xf>
    <xf numFmtId="0" fontId="48" fillId="33" borderId="0" applyNumberFormat="0" applyBorder="0" applyAlignment="0" applyProtection="0">
      <alignment vertical="center"/>
    </xf>
  </cellStyleXfs>
  <cellXfs count="156">
    <xf numFmtId="0" fontId="0" fillId="0" borderId="0" xfId="0">
      <alignment vertical="center"/>
    </xf>
    <xf numFmtId="0" fontId="1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3" fillId="0" borderId="0" xfId="0" applyFont="1" applyFill="1" applyAlignment="1">
      <alignment horizontal="center" vertical="center" wrapText="1"/>
    </xf>
    <xf numFmtId="0" fontId="4" fillId="0" borderId="1" xfId="0" applyNumberFormat="1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6" fillId="0" borderId="1" xfId="0" applyNumberFormat="1" applyFont="1" applyFill="1" applyBorder="1" applyAlignment="1">
      <alignment horizontal="center" vertical="center" wrapText="1"/>
    </xf>
    <xf numFmtId="0" fontId="3" fillId="0" borderId="1" xfId="0" applyNumberFormat="1" applyFont="1" applyFill="1" applyBorder="1" applyAlignment="1">
      <alignment horizontal="center" vertical="center" wrapText="1"/>
    </xf>
    <xf numFmtId="0" fontId="3" fillId="0" borderId="0" xfId="0" applyNumberFormat="1" applyFont="1" applyFill="1" applyBorder="1" applyAlignment="1">
      <alignment horizontal="center" vertical="center" wrapText="1"/>
    </xf>
    <xf numFmtId="58" fontId="7" fillId="2" borderId="1" xfId="0" applyNumberFormat="1" applyFont="1" applyFill="1" applyBorder="1" applyAlignment="1">
      <alignment horizontal="center" vertical="center" wrapText="1"/>
    </xf>
    <xf numFmtId="0" fontId="8" fillId="0" borderId="1" xfId="0" applyNumberFormat="1" applyFont="1" applyFill="1" applyBorder="1" applyAlignment="1">
      <alignment horizontal="center" vertical="center" wrapText="1"/>
    </xf>
    <xf numFmtId="0" fontId="5" fillId="0" borderId="1" xfId="0" applyNumberFormat="1" applyFont="1" applyFill="1" applyBorder="1" applyAlignment="1">
      <alignment horizontal="center" vertical="center" wrapText="1"/>
    </xf>
    <xf numFmtId="58" fontId="3" fillId="0" borderId="1" xfId="0" applyNumberFormat="1" applyFon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horizontal="center" vertical="center" wrapText="1"/>
    </xf>
    <xf numFmtId="58" fontId="7" fillId="0" borderId="1" xfId="0" applyNumberFormat="1" applyFont="1" applyFill="1" applyBorder="1" applyAlignment="1">
      <alignment horizontal="center" vertical="center" wrapText="1"/>
    </xf>
    <xf numFmtId="49" fontId="5" fillId="0" borderId="1" xfId="0" applyNumberFormat="1" applyFont="1" applyFill="1" applyBorder="1" applyAlignment="1">
      <alignment horizontal="center" vertical="center" wrapText="1"/>
    </xf>
    <xf numFmtId="58" fontId="2" fillId="0" borderId="1" xfId="0" applyNumberFormat="1" applyFont="1" applyFill="1" applyBorder="1" applyAlignment="1">
      <alignment horizontal="center" vertical="center" wrapText="1"/>
    </xf>
    <xf numFmtId="58" fontId="5" fillId="0" borderId="1" xfId="0" applyNumberFormat="1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 wrapText="1"/>
    </xf>
    <xf numFmtId="0" fontId="10" fillId="0" borderId="1" xfId="0" applyFont="1" applyFill="1" applyBorder="1" applyAlignment="1">
      <alignment horizontal="center" vertical="center" wrapText="1"/>
    </xf>
    <xf numFmtId="9" fontId="2" fillId="0" borderId="1" xfId="0" applyNumberFormat="1" applyFont="1" applyFill="1" applyBorder="1" applyAlignment="1">
      <alignment horizontal="center" vertical="center" wrapText="1"/>
    </xf>
    <xf numFmtId="9" fontId="6" fillId="0" borderId="1" xfId="0" applyNumberFormat="1" applyFont="1" applyFill="1" applyBorder="1" applyAlignment="1">
      <alignment horizontal="center" vertical="center" wrapText="1"/>
    </xf>
    <xf numFmtId="9" fontId="3" fillId="0" borderId="1" xfId="0" applyNumberFormat="1" applyFont="1" applyFill="1" applyBorder="1" applyAlignment="1">
      <alignment horizontal="center" vertical="center" wrapText="1"/>
    </xf>
    <xf numFmtId="10" fontId="3" fillId="0" borderId="1" xfId="0" applyNumberFormat="1" applyFont="1" applyFill="1" applyBorder="1" applyAlignment="1">
      <alignment horizontal="center" vertical="center" wrapText="1"/>
    </xf>
    <xf numFmtId="10" fontId="2" fillId="0" borderId="1" xfId="0" applyNumberFormat="1" applyFont="1" applyFill="1" applyBorder="1" applyAlignment="1">
      <alignment horizontal="center" vertical="center" wrapText="1"/>
    </xf>
    <xf numFmtId="0" fontId="11" fillId="0" borderId="1" xfId="0" applyNumberFormat="1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10" fontId="5" fillId="0" borderId="1" xfId="0" applyNumberFormat="1" applyFont="1" applyFill="1" applyBorder="1" applyAlignment="1">
      <alignment horizontal="center" vertical="center" wrapText="1"/>
    </xf>
    <xf numFmtId="9" fontId="5" fillId="0" borderId="1" xfId="0" applyNumberFormat="1" applyFont="1" applyFill="1" applyBorder="1" applyAlignment="1">
      <alignment horizontal="center" vertical="center" wrapText="1"/>
    </xf>
    <xf numFmtId="0" fontId="12" fillId="2" borderId="1" xfId="0" applyFont="1" applyFill="1" applyBorder="1" applyAlignment="1">
      <alignment horizontal="center" vertical="center" wrapText="1"/>
    </xf>
    <xf numFmtId="0" fontId="8" fillId="0" borderId="1" xfId="0" applyNumberFormat="1" applyFont="1" applyBorder="1" applyAlignment="1">
      <alignment horizontal="center" vertical="center"/>
    </xf>
    <xf numFmtId="0" fontId="8" fillId="0" borderId="1" xfId="0" applyNumberFormat="1" applyFont="1" applyBorder="1" applyAlignment="1">
      <alignment horizontal="center" vertical="center" wrapText="1"/>
    </xf>
    <xf numFmtId="0" fontId="13" fillId="0" borderId="1" xfId="0" applyNumberFormat="1" applyFont="1" applyBorder="1" applyAlignment="1">
      <alignment horizontal="center" vertical="center" wrapText="1"/>
    </xf>
    <xf numFmtId="0" fontId="14" fillId="0" borderId="0" xfId="0" applyFont="1">
      <alignment vertical="center"/>
    </xf>
    <xf numFmtId="9" fontId="8" fillId="0" borderId="1" xfId="0" applyNumberFormat="1" applyFont="1" applyBorder="1" applyAlignment="1">
      <alignment horizontal="center" vertical="center"/>
    </xf>
    <xf numFmtId="9" fontId="8" fillId="0" borderId="1" xfId="0" applyNumberFormat="1" applyFont="1" applyBorder="1" applyAlignment="1">
      <alignment horizontal="center" vertical="center" wrapText="1"/>
    </xf>
    <xf numFmtId="0" fontId="13" fillId="0" borderId="1" xfId="0" applyNumberFormat="1" applyFont="1" applyBorder="1" applyAlignment="1">
      <alignment horizontal="center" vertical="center"/>
    </xf>
    <xf numFmtId="10" fontId="8" fillId="0" borderId="1" xfId="0" applyNumberFormat="1" applyFont="1" applyBorder="1" applyAlignment="1">
      <alignment horizontal="center" vertical="center" wrapText="1"/>
    </xf>
    <xf numFmtId="0" fontId="15" fillId="0" borderId="1" xfId="0" applyNumberFormat="1" applyFont="1" applyBorder="1" applyAlignment="1">
      <alignment horizontal="center" vertical="center"/>
    </xf>
    <xf numFmtId="0" fontId="7" fillId="0" borderId="1" xfId="0" applyNumberFormat="1" applyFont="1" applyFill="1" applyBorder="1" applyAlignment="1">
      <alignment horizontal="center" vertical="center" wrapText="1"/>
    </xf>
    <xf numFmtId="0" fontId="16" fillId="0" borderId="1" xfId="0" applyFont="1" applyBorder="1">
      <alignment vertical="center"/>
    </xf>
    <xf numFmtId="0" fontId="17" fillId="0" borderId="1" xfId="0" applyNumberFormat="1" applyFont="1" applyFill="1" applyBorder="1" applyAlignment="1">
      <alignment horizontal="center" vertical="center" wrapText="1"/>
    </xf>
    <xf numFmtId="0" fontId="18" fillId="0" borderId="1" xfId="0" applyFont="1" applyFill="1" applyBorder="1" applyAlignment="1">
      <alignment horizontal="center" vertical="center" wrapText="1"/>
    </xf>
    <xf numFmtId="0" fontId="19" fillId="0" borderId="1" xfId="0" applyNumberFormat="1" applyFont="1" applyFill="1" applyBorder="1" applyAlignment="1">
      <alignment horizontal="center" vertical="center" wrapText="1"/>
    </xf>
    <xf numFmtId="0" fontId="2" fillId="0" borderId="1" xfId="0" applyNumberFormat="1" applyFont="1" applyFill="1" applyBorder="1" applyAlignment="1">
      <alignment horizontal="center" vertical="center" wrapText="1"/>
    </xf>
    <xf numFmtId="0" fontId="20" fillId="2" borderId="1" xfId="0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center" vertical="center" wrapText="1"/>
    </xf>
    <xf numFmtId="0" fontId="12" fillId="0" borderId="1" xfId="0" applyFont="1" applyFill="1" applyBorder="1" applyAlignment="1">
      <alignment horizontal="center" vertical="center" wrapText="1"/>
    </xf>
    <xf numFmtId="0" fontId="21" fillId="0" borderId="1" xfId="0" applyFont="1" applyFill="1" applyBorder="1" applyAlignment="1">
      <alignment horizontal="center" vertical="center" wrapText="1"/>
    </xf>
    <xf numFmtId="0" fontId="3" fillId="0" borderId="0" xfId="0" applyFont="1" applyFill="1" applyBorder="1" applyAlignment="1">
      <alignment horizontal="center" vertical="center" wrapText="1"/>
    </xf>
    <xf numFmtId="0" fontId="2" fillId="0" borderId="0" xfId="0" applyFont="1" applyFill="1" applyBorder="1" applyAlignment="1">
      <alignment horizontal="center" vertical="center" wrapText="1"/>
    </xf>
    <xf numFmtId="0" fontId="8" fillId="0" borderId="0" xfId="0" applyNumberFormat="1" applyFont="1" applyBorder="1" applyAlignment="1">
      <alignment horizontal="center" vertical="center" wrapText="1"/>
    </xf>
    <xf numFmtId="49" fontId="8" fillId="0" borderId="1" xfId="0" applyNumberFormat="1" applyFont="1" applyBorder="1" applyAlignment="1">
      <alignment horizontal="center" vertical="center" wrapText="1"/>
    </xf>
    <xf numFmtId="0" fontId="22" fillId="0" borderId="1" xfId="6" applyNumberFormat="1" applyFont="1" applyBorder="1" applyAlignment="1">
      <alignment horizontal="center" vertical="center" wrapText="1"/>
    </xf>
    <xf numFmtId="0" fontId="13" fillId="0" borderId="0" xfId="0" applyNumberFormat="1" applyFont="1" applyBorder="1" applyAlignment="1">
      <alignment horizontal="center" vertical="center" wrapText="1"/>
    </xf>
    <xf numFmtId="0" fontId="23" fillId="0" borderId="1" xfId="0" applyNumberFormat="1" applyFont="1" applyBorder="1" applyAlignment="1">
      <alignment horizontal="center" vertical="center"/>
    </xf>
    <xf numFmtId="0" fontId="24" fillId="2" borderId="1" xfId="0" applyFont="1" applyFill="1" applyBorder="1" applyAlignment="1">
      <alignment vertical="center" wrapText="1"/>
    </xf>
    <xf numFmtId="0" fontId="25" fillId="0" borderId="1" xfId="0" applyFont="1" applyBorder="1">
      <alignment vertical="center"/>
    </xf>
    <xf numFmtId="0" fontId="0" fillId="0" borderId="1" xfId="0" applyBorder="1">
      <alignment vertical="center"/>
    </xf>
    <xf numFmtId="49" fontId="5" fillId="0" borderId="0" xfId="0" applyNumberFormat="1" applyFont="1" applyFill="1" applyBorder="1" applyAlignment="1">
      <alignment horizontal="center" vertical="center" wrapText="1"/>
    </xf>
    <xf numFmtId="0" fontId="13" fillId="0" borderId="2" xfId="0" applyNumberFormat="1" applyFont="1" applyBorder="1" applyAlignment="1">
      <alignment horizontal="center" vertical="center" wrapText="1"/>
    </xf>
    <xf numFmtId="0" fontId="8" fillId="0" borderId="2" xfId="0" applyNumberFormat="1" applyFont="1" applyBorder="1" applyAlignment="1">
      <alignment horizontal="center" vertical="center" wrapText="1"/>
    </xf>
    <xf numFmtId="0" fontId="13" fillId="0" borderId="3" xfId="0" applyNumberFormat="1" applyFont="1" applyBorder="1" applyAlignment="1">
      <alignment horizontal="center" vertical="center" wrapText="1"/>
    </xf>
    <xf numFmtId="0" fontId="8" fillId="0" borderId="3" xfId="0" applyNumberFormat="1" applyFont="1" applyBorder="1" applyAlignment="1">
      <alignment horizontal="center" vertical="center" wrapText="1"/>
    </xf>
    <xf numFmtId="0" fontId="8" fillId="0" borderId="3" xfId="0" applyNumberFormat="1" applyFont="1" applyBorder="1" applyAlignment="1">
      <alignment horizontal="center" vertical="center"/>
    </xf>
    <xf numFmtId="49" fontId="15" fillId="0" borderId="3" xfId="0" applyNumberFormat="1" applyFont="1" applyBorder="1" applyAlignment="1">
      <alignment horizontal="center" vertical="center"/>
    </xf>
    <xf numFmtId="0" fontId="8" fillId="0" borderId="0" xfId="0" applyNumberFormat="1" applyFont="1" applyBorder="1" applyAlignment="1">
      <alignment horizontal="center" vertical="center"/>
    </xf>
    <xf numFmtId="0" fontId="5" fillId="0" borderId="3" xfId="0" applyFont="1" applyFill="1" applyBorder="1" applyAlignment="1">
      <alignment horizontal="center" vertical="center" wrapText="1"/>
    </xf>
    <xf numFmtId="0" fontId="2" fillId="0" borderId="3" xfId="0" applyFont="1" applyFill="1" applyBorder="1" applyAlignment="1">
      <alignment horizontal="center" vertical="center" wrapText="1"/>
    </xf>
    <xf numFmtId="0" fontId="3" fillId="0" borderId="3" xfId="0" applyNumberFormat="1" applyFont="1" applyFill="1" applyBorder="1" applyAlignment="1">
      <alignment horizontal="center" vertical="center" wrapText="1"/>
    </xf>
    <xf numFmtId="0" fontId="7" fillId="0" borderId="3" xfId="0" applyNumberFormat="1" applyFont="1" applyFill="1" applyBorder="1" applyAlignment="1">
      <alignment horizontal="center" vertical="center" wrapText="1"/>
    </xf>
    <xf numFmtId="0" fontId="3" fillId="0" borderId="4" xfId="0" applyNumberFormat="1" applyFont="1" applyFill="1" applyBorder="1" applyAlignment="1">
      <alignment horizontal="center" vertical="center" wrapText="1"/>
    </xf>
    <xf numFmtId="49" fontId="5" fillId="0" borderId="4" xfId="0" applyNumberFormat="1" applyFont="1" applyFill="1" applyBorder="1" applyAlignment="1">
      <alignment horizontal="center" vertical="center" wrapText="1"/>
    </xf>
    <xf numFmtId="0" fontId="8" fillId="0" borderId="3" xfId="0" applyNumberFormat="1" applyFont="1" applyFill="1" applyBorder="1" applyAlignment="1">
      <alignment horizontal="center" vertical="center" wrapText="1"/>
    </xf>
    <xf numFmtId="0" fontId="5" fillId="0" borderId="3" xfId="0" applyNumberFormat="1" applyFont="1" applyFill="1" applyBorder="1" applyAlignment="1">
      <alignment horizontal="center" vertical="center" wrapText="1"/>
    </xf>
    <xf numFmtId="0" fontId="13" fillId="0" borderId="2" xfId="0" applyNumberFormat="1" applyFont="1" applyBorder="1" applyAlignment="1">
      <alignment horizontal="center" vertical="center"/>
    </xf>
    <xf numFmtId="9" fontId="8" fillId="0" borderId="3" xfId="0" applyNumberFormat="1" applyFont="1" applyBorder="1" applyAlignment="1">
      <alignment horizontal="center" vertical="center" wrapText="1"/>
    </xf>
    <xf numFmtId="10" fontId="8" fillId="0" borderId="3" xfId="0" applyNumberFormat="1" applyFont="1" applyBorder="1" applyAlignment="1">
      <alignment horizontal="center" vertical="center" wrapText="1"/>
    </xf>
    <xf numFmtId="0" fontId="13" fillId="0" borderId="3" xfId="0" applyNumberFormat="1" applyFont="1" applyBorder="1" applyAlignment="1">
      <alignment horizontal="center" vertical="center"/>
    </xf>
    <xf numFmtId="10" fontId="2" fillId="0" borderId="3" xfId="0" applyNumberFormat="1" applyFont="1" applyFill="1" applyBorder="1" applyAlignment="1">
      <alignment horizontal="center" vertical="center" wrapText="1"/>
    </xf>
    <xf numFmtId="10" fontId="3" fillId="0" borderId="3" xfId="0" applyNumberFormat="1" applyFont="1" applyFill="1" applyBorder="1" applyAlignment="1">
      <alignment horizontal="center" vertical="center" wrapText="1"/>
    </xf>
    <xf numFmtId="9" fontId="3" fillId="0" borderId="0" xfId="0" applyNumberFormat="1" applyFont="1" applyFill="1" applyBorder="1" applyAlignment="1">
      <alignment horizontal="center" vertical="center" wrapText="1"/>
    </xf>
    <xf numFmtId="0" fontId="5" fillId="0" borderId="2" xfId="0" applyNumberFormat="1" applyFont="1" applyFill="1" applyBorder="1" applyAlignment="1">
      <alignment horizontal="center" vertical="center" wrapText="1"/>
    </xf>
    <xf numFmtId="0" fontId="5" fillId="0" borderId="5" xfId="0" applyNumberFormat="1" applyFont="1" applyFill="1" applyBorder="1" applyAlignment="1">
      <alignment horizontal="center" vertical="center" wrapText="1"/>
    </xf>
    <xf numFmtId="0" fontId="5" fillId="0" borderId="2" xfId="0" applyFont="1" applyFill="1" applyBorder="1" applyAlignment="1">
      <alignment horizontal="center" vertical="center" wrapText="1"/>
    </xf>
    <xf numFmtId="0" fontId="3" fillId="0" borderId="5" xfId="0" applyNumberFormat="1" applyFont="1" applyFill="1" applyBorder="1" applyAlignment="1">
      <alignment horizontal="center" vertical="center" wrapText="1"/>
    </xf>
    <xf numFmtId="0" fontId="3" fillId="0" borderId="6" xfId="0" applyNumberFormat="1" applyFont="1" applyFill="1" applyBorder="1" applyAlignment="1">
      <alignment horizontal="center" vertical="center" wrapText="1"/>
    </xf>
    <xf numFmtId="0" fontId="3" fillId="0" borderId="2" xfId="0" applyFont="1" applyFill="1" applyBorder="1" applyAlignment="1">
      <alignment horizontal="center" vertical="center" wrapText="1"/>
    </xf>
    <xf numFmtId="0" fontId="8" fillId="0" borderId="6" xfId="0" applyNumberFormat="1" applyFont="1" applyBorder="1" applyAlignment="1">
      <alignment horizontal="center" vertical="center" wrapText="1"/>
    </xf>
    <xf numFmtId="0" fontId="5" fillId="0" borderId="6" xfId="0" applyFont="1" applyFill="1" applyBorder="1" applyAlignment="1">
      <alignment horizontal="center" vertical="center" wrapText="1"/>
    </xf>
    <xf numFmtId="0" fontId="2" fillId="0" borderId="6" xfId="0" applyFont="1" applyFill="1" applyBorder="1" applyAlignment="1">
      <alignment horizontal="center" vertical="center" wrapText="1"/>
    </xf>
    <xf numFmtId="0" fontId="23" fillId="0" borderId="6" xfId="0" applyNumberFormat="1" applyFont="1" applyFill="1" applyBorder="1" applyAlignment="1">
      <alignment horizontal="center" vertical="center" wrapText="1"/>
    </xf>
    <xf numFmtId="0" fontId="5" fillId="0" borderId="6" xfId="0" applyNumberFormat="1" applyFont="1" applyFill="1" applyBorder="1" applyAlignment="1">
      <alignment horizontal="center" vertical="center" wrapText="1"/>
    </xf>
    <xf numFmtId="0" fontId="8" fillId="0" borderId="2" xfId="0" applyNumberFormat="1" applyFont="1" applyFill="1" applyBorder="1" applyAlignment="1">
      <alignment horizontal="center" vertical="center" wrapText="1"/>
    </xf>
    <xf numFmtId="0" fontId="2" fillId="0" borderId="2" xfId="0" applyFont="1" applyFill="1" applyBorder="1" applyAlignment="1">
      <alignment horizontal="center" vertical="center" wrapText="1"/>
    </xf>
    <xf numFmtId="10" fontId="3" fillId="0" borderId="4" xfId="0" applyNumberFormat="1" applyFont="1" applyFill="1" applyBorder="1" applyAlignment="1">
      <alignment horizontal="center" vertical="center" wrapText="1"/>
    </xf>
    <xf numFmtId="9" fontId="3" fillId="0" borderId="5" xfId="0" applyNumberFormat="1" applyFont="1" applyFill="1" applyBorder="1" applyAlignment="1">
      <alignment horizontal="center" vertical="center" wrapText="1"/>
    </xf>
    <xf numFmtId="0" fontId="5" fillId="0" borderId="5" xfId="0" applyFont="1" applyFill="1" applyBorder="1" applyAlignment="1">
      <alignment horizontal="center" vertical="center" wrapText="1"/>
    </xf>
    <xf numFmtId="9" fontId="3" fillId="0" borderId="6" xfId="0" applyNumberFormat="1" applyFont="1" applyFill="1" applyBorder="1" applyAlignment="1">
      <alignment horizontal="center" vertical="center" wrapText="1"/>
    </xf>
    <xf numFmtId="9" fontId="3" fillId="0" borderId="2" xfId="0" applyNumberFormat="1" applyFont="1" applyFill="1" applyBorder="1" applyAlignment="1">
      <alignment horizontal="center" vertical="center" wrapText="1"/>
    </xf>
    <xf numFmtId="9" fontId="8" fillId="0" borderId="6" xfId="0" applyNumberFormat="1" applyFont="1" applyBorder="1" applyAlignment="1">
      <alignment horizontal="center" vertical="center" wrapText="1"/>
    </xf>
    <xf numFmtId="0" fontId="13" fillId="0" borderId="6" xfId="0" applyNumberFormat="1" applyFont="1" applyBorder="1" applyAlignment="1">
      <alignment horizontal="center" vertical="center"/>
    </xf>
    <xf numFmtId="9" fontId="2" fillId="0" borderId="6" xfId="0" applyNumberFormat="1" applyFont="1" applyFill="1" applyBorder="1" applyAlignment="1">
      <alignment horizontal="center" vertical="center" wrapText="1"/>
    </xf>
    <xf numFmtId="10" fontId="3" fillId="0" borderId="6" xfId="0" applyNumberFormat="1" applyFont="1" applyFill="1" applyBorder="1" applyAlignment="1">
      <alignment horizontal="center" vertical="center" wrapText="1"/>
    </xf>
    <xf numFmtId="10" fontId="3" fillId="0" borderId="2" xfId="0" applyNumberFormat="1" applyFont="1" applyFill="1" applyBorder="1" applyAlignment="1">
      <alignment horizontal="center" vertical="center" wrapText="1"/>
    </xf>
    <xf numFmtId="9" fontId="3" fillId="0" borderId="3" xfId="0" applyNumberFormat="1" applyFont="1" applyFill="1" applyBorder="1" applyAlignment="1">
      <alignment horizontal="center" vertical="center" wrapText="1"/>
    </xf>
    <xf numFmtId="9" fontId="2" fillId="0" borderId="3" xfId="0" applyNumberFormat="1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13" fillId="0" borderId="6" xfId="0" applyNumberFormat="1" applyFont="1" applyBorder="1" applyAlignment="1">
      <alignment horizontal="center" vertical="center" wrapText="1"/>
    </xf>
    <xf numFmtId="0" fontId="6" fillId="0" borderId="3" xfId="0" applyNumberFormat="1" applyFont="1" applyFill="1" applyBorder="1" applyAlignment="1">
      <alignment horizontal="center" vertical="center" wrapText="1"/>
    </xf>
    <xf numFmtId="58" fontId="3" fillId="0" borderId="3" xfId="0" applyNumberFormat="1" applyFont="1" applyFill="1" applyBorder="1" applyAlignment="1">
      <alignment horizontal="center" vertical="center" wrapText="1"/>
    </xf>
    <xf numFmtId="0" fontId="17" fillId="0" borderId="3" xfId="0" applyNumberFormat="1" applyFont="1" applyFill="1" applyBorder="1" applyAlignment="1">
      <alignment horizontal="center" vertical="center" wrapText="1"/>
    </xf>
    <xf numFmtId="0" fontId="9" fillId="0" borderId="3" xfId="0" applyFont="1" applyFill="1" applyBorder="1" applyAlignment="1">
      <alignment horizontal="center" vertical="center" wrapText="1"/>
    </xf>
    <xf numFmtId="58" fontId="8" fillId="0" borderId="3" xfId="0" applyNumberFormat="1" applyFont="1" applyFill="1" applyBorder="1" applyAlignment="1">
      <alignment horizontal="center" vertical="center" wrapText="1"/>
    </xf>
    <xf numFmtId="0" fontId="22" fillId="0" borderId="3" xfId="6" applyNumberFormat="1" applyFont="1" applyBorder="1" applyAlignment="1">
      <alignment horizontal="center" vertical="center" wrapText="1"/>
    </xf>
    <xf numFmtId="0" fontId="5" fillId="0" borderId="7" xfId="0" applyFont="1" applyFill="1" applyBorder="1" applyAlignment="1">
      <alignment horizontal="center" vertical="center" wrapText="1"/>
    </xf>
    <xf numFmtId="0" fontId="2" fillId="0" borderId="7" xfId="0" applyFont="1" applyFill="1" applyBorder="1" applyAlignment="1">
      <alignment horizontal="center" vertical="center" wrapText="1"/>
    </xf>
    <xf numFmtId="0" fontId="5" fillId="0" borderId="8" xfId="0" applyFont="1" applyFill="1" applyBorder="1" applyAlignment="1">
      <alignment horizontal="center" vertical="center" wrapText="1"/>
    </xf>
    <xf numFmtId="0" fontId="2" fillId="0" borderId="8" xfId="0" applyFont="1" applyFill="1" applyBorder="1" applyAlignment="1">
      <alignment horizontal="center" vertical="center" wrapText="1"/>
    </xf>
    <xf numFmtId="0" fontId="9" fillId="0" borderId="8" xfId="0" applyFont="1" applyFill="1" applyBorder="1" applyAlignment="1">
      <alignment horizontal="center" vertical="center" wrapText="1"/>
    </xf>
    <xf numFmtId="0" fontId="8" fillId="0" borderId="8" xfId="0" applyNumberFormat="1" applyFont="1" applyFill="1" applyBorder="1" applyAlignment="1">
      <alignment horizontal="center" vertical="center" wrapText="1"/>
    </xf>
    <xf numFmtId="0" fontId="3" fillId="0" borderId="8" xfId="0" applyNumberFormat="1" applyFont="1" applyFill="1" applyBorder="1" applyAlignment="1">
      <alignment horizontal="center" vertical="center" wrapText="1"/>
    </xf>
    <xf numFmtId="49" fontId="9" fillId="0" borderId="8" xfId="0" applyNumberFormat="1" applyFont="1" applyFill="1" applyBorder="1" applyAlignment="1">
      <alignment horizontal="center" vertical="center" wrapText="1"/>
    </xf>
    <xf numFmtId="49" fontId="8" fillId="0" borderId="8" xfId="0" applyNumberFormat="1" applyFont="1" applyFill="1" applyBorder="1" applyAlignment="1">
      <alignment horizontal="center" vertical="center" wrapText="1"/>
    </xf>
    <xf numFmtId="49" fontId="22" fillId="0" borderId="8" xfId="6" applyNumberFormat="1" applyFont="1" applyBorder="1" applyAlignment="1">
      <alignment horizontal="center" vertical="center" wrapText="1"/>
    </xf>
    <xf numFmtId="0" fontId="22" fillId="0" borderId="8" xfId="6" applyNumberFormat="1" applyFont="1" applyBorder="1" applyAlignment="1">
      <alignment horizontal="center" vertical="center" wrapText="1"/>
    </xf>
    <xf numFmtId="0" fontId="7" fillId="0" borderId="8" xfId="0" applyNumberFormat="1" applyFont="1" applyFill="1" applyBorder="1" applyAlignment="1">
      <alignment horizontal="center" vertical="center" wrapText="1"/>
    </xf>
    <xf numFmtId="0" fontId="5" fillId="0" borderId="8" xfId="0" applyNumberFormat="1" applyFont="1" applyFill="1" applyBorder="1" applyAlignment="1">
      <alignment horizontal="center" vertical="center" wrapText="1"/>
    </xf>
    <xf numFmtId="0" fontId="3" fillId="0" borderId="7" xfId="0" applyNumberFormat="1" applyFont="1" applyFill="1" applyBorder="1" applyAlignment="1">
      <alignment horizontal="center" vertical="center" wrapText="1"/>
    </xf>
    <xf numFmtId="0" fontId="5" fillId="0" borderId="7" xfId="0" applyNumberFormat="1" applyFont="1" applyFill="1" applyBorder="1" applyAlignment="1">
      <alignment horizontal="center" vertical="center" wrapText="1"/>
    </xf>
    <xf numFmtId="10" fontId="2" fillId="0" borderId="8" xfId="0" applyNumberFormat="1" applyFont="1" applyFill="1" applyBorder="1" applyAlignment="1">
      <alignment horizontal="center" vertical="center" wrapText="1"/>
    </xf>
    <xf numFmtId="10" fontId="3" fillId="0" borderId="8" xfId="0" applyNumberFormat="1" applyFont="1" applyFill="1" applyBorder="1" applyAlignment="1">
      <alignment horizontal="center" vertical="center" wrapText="1"/>
    </xf>
    <xf numFmtId="9" fontId="3" fillId="0" borderId="8" xfId="0" applyNumberFormat="1" applyFont="1" applyFill="1" applyBorder="1" applyAlignment="1">
      <alignment horizontal="center" vertical="center" wrapText="1"/>
    </xf>
    <xf numFmtId="10" fontId="5" fillId="0" borderId="8" xfId="0" applyNumberFormat="1" applyFont="1" applyFill="1" applyBorder="1" applyAlignment="1">
      <alignment horizontal="center" vertical="center" wrapText="1"/>
    </xf>
    <xf numFmtId="9" fontId="2" fillId="0" borderId="8" xfId="0" applyNumberFormat="1" applyFont="1" applyFill="1" applyBorder="1" applyAlignment="1">
      <alignment horizontal="center" vertical="center" wrapText="1"/>
    </xf>
    <xf numFmtId="0" fontId="7" fillId="0" borderId="8" xfId="0" applyFont="1" applyFill="1" applyBorder="1" applyAlignment="1">
      <alignment horizontal="center" vertical="center" wrapText="1"/>
    </xf>
    <xf numFmtId="0" fontId="19" fillId="0" borderId="6" xfId="0" applyFont="1" applyFill="1" applyBorder="1" applyAlignment="1">
      <alignment horizontal="center" vertical="center" wrapText="1"/>
    </xf>
    <xf numFmtId="0" fontId="26" fillId="0" borderId="6" xfId="0" applyNumberFormat="1" applyFont="1" applyFill="1" applyBorder="1" applyAlignment="1">
      <alignment horizontal="center" vertical="center" wrapText="1"/>
    </xf>
    <xf numFmtId="0" fontId="27" fillId="0" borderId="8" xfId="0" applyFont="1" applyFill="1" applyBorder="1" applyAlignment="1">
      <alignment horizontal="center" vertical="center" wrapText="1"/>
    </xf>
    <xf numFmtId="0" fontId="3" fillId="0" borderId="8" xfId="0" applyFont="1" applyFill="1" applyBorder="1" applyAlignment="1">
      <alignment horizontal="center" vertical="center" wrapText="1"/>
    </xf>
    <xf numFmtId="0" fontId="8" fillId="0" borderId="8" xfId="0" applyNumberFormat="1" applyFont="1" applyBorder="1" applyAlignment="1">
      <alignment horizontal="center" vertical="center" wrapText="1"/>
    </xf>
    <xf numFmtId="0" fontId="8" fillId="0" borderId="8" xfId="0" applyNumberFormat="1" applyFont="1" applyBorder="1" applyAlignment="1">
      <alignment horizontal="center" vertical="center"/>
    </xf>
    <xf numFmtId="58" fontId="2" fillId="0" borderId="8" xfId="0" applyNumberFormat="1" applyFont="1" applyFill="1" applyBorder="1" applyAlignment="1">
      <alignment horizontal="center" vertical="center" wrapText="1"/>
    </xf>
    <xf numFmtId="0" fontId="16" fillId="0" borderId="6" xfId="0" applyFont="1" applyBorder="1">
      <alignment vertical="center"/>
    </xf>
    <xf numFmtId="0" fontId="28" fillId="0" borderId="6" xfId="0" applyFont="1" applyBorder="1">
      <alignment vertical="center"/>
    </xf>
    <xf numFmtId="49" fontId="5" fillId="0" borderId="8" xfId="0" applyNumberFormat="1" applyFont="1" applyFill="1" applyBorder="1" applyAlignment="1">
      <alignment horizontal="center" vertical="center" wrapText="1"/>
    </xf>
    <xf numFmtId="0" fontId="29" fillId="0" borderId="8" xfId="0" applyFont="1" applyFill="1" applyBorder="1" applyAlignment="1">
      <alignment horizontal="center" vertical="center" wrapText="1"/>
    </xf>
    <xf numFmtId="0" fontId="6" fillId="0" borderId="6" xfId="0" applyNumberFormat="1" applyFont="1" applyFill="1" applyBorder="1" applyAlignment="1">
      <alignment horizontal="center" vertical="center" wrapText="1"/>
    </xf>
    <xf numFmtId="9" fontId="8" fillId="0" borderId="8" xfId="0" applyNumberFormat="1" applyFont="1" applyBorder="1" applyAlignment="1">
      <alignment horizontal="center" vertical="center" wrapText="1"/>
    </xf>
    <xf numFmtId="0" fontId="13" fillId="0" borderId="8" xfId="0" applyNumberFormat="1" applyFont="1" applyBorder="1" applyAlignment="1">
      <alignment horizontal="center" vertical="center"/>
    </xf>
    <xf numFmtId="9" fontId="5" fillId="0" borderId="8" xfId="0" applyNumberFormat="1" applyFont="1" applyFill="1" applyBorder="1" applyAlignment="1">
      <alignment horizontal="center" vertical="center" wrapText="1"/>
    </xf>
    <xf numFmtId="0" fontId="13" fillId="0" borderId="8" xfId="0" applyNumberFormat="1" applyFont="1" applyBorder="1" applyAlignment="1">
      <alignment horizontal="center" vertical="center" wrapText="1"/>
    </xf>
    <xf numFmtId="0" fontId="7" fillId="2" borderId="8" xfId="0" applyFont="1" applyFill="1" applyBorder="1" applyAlignment="1">
      <alignment horizontal="center" vertical="center" wrapText="1"/>
    </xf>
    <xf numFmtId="0" fontId="5" fillId="0" borderId="0" xfId="0" applyFont="1" applyFill="1" applyBorder="1" applyAlignment="1">
      <alignment horizontal="center" vertical="center" wrapText="1"/>
    </xf>
    <xf numFmtId="0" fontId="18" fillId="0" borderId="1" xfId="0" applyNumberFormat="1" applyFont="1" applyFill="1" applyBorder="1" applyAlignment="1">
      <alignment horizontal="center" vertical="center" wrapText="1"/>
    </xf>
    <xf numFmtId="0" fontId="30" fillId="0" borderId="0" xfId="0" applyFont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png"/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pn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jpeg"/><Relationship Id="rId85" Type="http://schemas.openxmlformats.org/officeDocument/2006/relationships/image" Target="media/image85.pn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jpe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png"/><Relationship Id="rId79" Type="http://schemas.openxmlformats.org/officeDocument/2006/relationships/image" Target="media/image79.png"/><Relationship Id="rId78" Type="http://schemas.openxmlformats.org/officeDocument/2006/relationships/image" Target="media/image78.png"/><Relationship Id="rId77" Type="http://schemas.openxmlformats.org/officeDocument/2006/relationships/image" Target="media/image77.png"/><Relationship Id="rId76" Type="http://schemas.openxmlformats.org/officeDocument/2006/relationships/image" Target="media/image76.png"/><Relationship Id="rId75" Type="http://schemas.openxmlformats.org/officeDocument/2006/relationships/image" Target="media/image75.pn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png"/><Relationship Id="rId68" Type="http://schemas.openxmlformats.org/officeDocument/2006/relationships/image" Target="media/image68.pn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jpe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jpe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3" Type="http://schemas.openxmlformats.org/officeDocument/2006/relationships/image" Target="media/image553.png"/><Relationship Id="rId552" Type="http://schemas.openxmlformats.org/officeDocument/2006/relationships/image" Target="media/image552.png"/><Relationship Id="rId551" Type="http://schemas.openxmlformats.org/officeDocument/2006/relationships/image" Target="media/image551.png"/><Relationship Id="rId550" Type="http://schemas.openxmlformats.org/officeDocument/2006/relationships/image" Target="media/image550.png"/><Relationship Id="rId55" Type="http://schemas.openxmlformats.org/officeDocument/2006/relationships/image" Target="media/image55.jpeg"/><Relationship Id="rId549" Type="http://schemas.openxmlformats.org/officeDocument/2006/relationships/image" Target="media/image549.png"/><Relationship Id="rId548" Type="http://schemas.openxmlformats.org/officeDocument/2006/relationships/image" Target="media/image548.png"/><Relationship Id="rId547" Type="http://schemas.openxmlformats.org/officeDocument/2006/relationships/image" Target="media/image547.png"/><Relationship Id="rId546" Type="http://schemas.openxmlformats.org/officeDocument/2006/relationships/image" Target="media/image546.png"/><Relationship Id="rId545" Type="http://schemas.openxmlformats.org/officeDocument/2006/relationships/image" Target="media/image545.png"/><Relationship Id="rId544" Type="http://schemas.openxmlformats.org/officeDocument/2006/relationships/image" Target="media/image544.png"/><Relationship Id="rId543" Type="http://schemas.openxmlformats.org/officeDocument/2006/relationships/image" Target="media/image543.png"/><Relationship Id="rId542" Type="http://schemas.openxmlformats.org/officeDocument/2006/relationships/image" Target="media/image542.png"/><Relationship Id="rId541" Type="http://schemas.openxmlformats.org/officeDocument/2006/relationships/image" Target="media/image541.png"/><Relationship Id="rId540" Type="http://schemas.openxmlformats.org/officeDocument/2006/relationships/image" Target="media/image540.png"/><Relationship Id="rId54" Type="http://schemas.openxmlformats.org/officeDocument/2006/relationships/image" Target="media/image54.png"/><Relationship Id="rId539" Type="http://schemas.openxmlformats.org/officeDocument/2006/relationships/image" Target="media/image539.png"/><Relationship Id="rId538" Type="http://schemas.openxmlformats.org/officeDocument/2006/relationships/image" Target="media/image538.png"/><Relationship Id="rId537" Type="http://schemas.openxmlformats.org/officeDocument/2006/relationships/image" Target="media/image537.png"/><Relationship Id="rId536" Type="http://schemas.openxmlformats.org/officeDocument/2006/relationships/image" Target="media/image536.png"/><Relationship Id="rId535" Type="http://schemas.openxmlformats.org/officeDocument/2006/relationships/image" Target="media/image535.png"/><Relationship Id="rId534" Type="http://schemas.openxmlformats.org/officeDocument/2006/relationships/image" Target="media/image534.png"/><Relationship Id="rId533" Type="http://schemas.openxmlformats.org/officeDocument/2006/relationships/image" Target="media/image533.png"/><Relationship Id="rId532" Type="http://schemas.openxmlformats.org/officeDocument/2006/relationships/image" Target="media/image532.png"/><Relationship Id="rId531" Type="http://schemas.openxmlformats.org/officeDocument/2006/relationships/image" Target="media/image531.png"/><Relationship Id="rId530" Type="http://schemas.openxmlformats.org/officeDocument/2006/relationships/image" Target="media/image530.png"/><Relationship Id="rId53" Type="http://schemas.openxmlformats.org/officeDocument/2006/relationships/image" Target="media/image53.png"/><Relationship Id="rId529" Type="http://schemas.openxmlformats.org/officeDocument/2006/relationships/image" Target="media/image529.png"/><Relationship Id="rId528" Type="http://schemas.openxmlformats.org/officeDocument/2006/relationships/image" Target="media/image528.png"/><Relationship Id="rId527" Type="http://schemas.openxmlformats.org/officeDocument/2006/relationships/image" Target="media/image527.png"/><Relationship Id="rId526" Type="http://schemas.openxmlformats.org/officeDocument/2006/relationships/image" Target="media/image526.png"/><Relationship Id="rId525" Type="http://schemas.openxmlformats.org/officeDocument/2006/relationships/image" Target="media/image525.png"/><Relationship Id="rId524" Type="http://schemas.openxmlformats.org/officeDocument/2006/relationships/image" Target="media/image524.png"/><Relationship Id="rId523" Type="http://schemas.openxmlformats.org/officeDocument/2006/relationships/image" Target="media/image523.png"/><Relationship Id="rId522" Type="http://schemas.openxmlformats.org/officeDocument/2006/relationships/image" Target="media/image522.png"/><Relationship Id="rId521" Type="http://schemas.openxmlformats.org/officeDocument/2006/relationships/image" Target="media/image521.png"/><Relationship Id="rId520" Type="http://schemas.openxmlformats.org/officeDocument/2006/relationships/image" Target="media/image520.png"/><Relationship Id="rId52" Type="http://schemas.openxmlformats.org/officeDocument/2006/relationships/image" Target="media/image52.png"/><Relationship Id="rId519" Type="http://schemas.openxmlformats.org/officeDocument/2006/relationships/image" Target="media/image519.GIF"/><Relationship Id="rId518" Type="http://schemas.openxmlformats.org/officeDocument/2006/relationships/image" Target="media/image518.GIF"/><Relationship Id="rId517" Type="http://schemas.openxmlformats.org/officeDocument/2006/relationships/image" Target="media/image517.GIF"/><Relationship Id="rId516" Type="http://schemas.openxmlformats.org/officeDocument/2006/relationships/image" Target="media/image516.png"/><Relationship Id="rId515" Type="http://schemas.openxmlformats.org/officeDocument/2006/relationships/image" Target="media/image515.GIF"/><Relationship Id="rId514" Type="http://schemas.openxmlformats.org/officeDocument/2006/relationships/image" Target="media/image514.GIF"/><Relationship Id="rId513" Type="http://schemas.openxmlformats.org/officeDocument/2006/relationships/image" Target="media/image513.GIF"/><Relationship Id="rId512" Type="http://schemas.openxmlformats.org/officeDocument/2006/relationships/image" Target="media/image512.GIF"/><Relationship Id="rId511" Type="http://schemas.openxmlformats.org/officeDocument/2006/relationships/image" Target="media/image511.GIF"/><Relationship Id="rId510" Type="http://schemas.openxmlformats.org/officeDocument/2006/relationships/image" Target="media/image510.GIF"/><Relationship Id="rId51" Type="http://schemas.openxmlformats.org/officeDocument/2006/relationships/image" Target="media/image51.png"/><Relationship Id="rId509" Type="http://schemas.openxmlformats.org/officeDocument/2006/relationships/image" Target="media/image509.GIF"/><Relationship Id="rId508" Type="http://schemas.openxmlformats.org/officeDocument/2006/relationships/image" Target="media/image508.GIF"/><Relationship Id="rId507" Type="http://schemas.openxmlformats.org/officeDocument/2006/relationships/image" Target="media/image507.GIF"/><Relationship Id="rId506" Type="http://schemas.openxmlformats.org/officeDocument/2006/relationships/image" Target="media/image506.GIF"/><Relationship Id="rId505" Type="http://schemas.openxmlformats.org/officeDocument/2006/relationships/image" Target="media/image505.GIF"/><Relationship Id="rId504" Type="http://schemas.openxmlformats.org/officeDocument/2006/relationships/image" Target="media/image504.png"/><Relationship Id="rId503" Type="http://schemas.openxmlformats.org/officeDocument/2006/relationships/image" Target="media/image503.png"/><Relationship Id="rId502" Type="http://schemas.openxmlformats.org/officeDocument/2006/relationships/image" Target="media/image502.png"/><Relationship Id="rId501" Type="http://schemas.openxmlformats.org/officeDocument/2006/relationships/image" Target="media/image501.png"/><Relationship Id="rId500" Type="http://schemas.openxmlformats.org/officeDocument/2006/relationships/image" Target="media/image500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9" Type="http://schemas.openxmlformats.org/officeDocument/2006/relationships/image" Target="media/image499.GIF"/><Relationship Id="rId498" Type="http://schemas.openxmlformats.org/officeDocument/2006/relationships/image" Target="media/image498.png"/><Relationship Id="rId497" Type="http://schemas.openxmlformats.org/officeDocument/2006/relationships/image" Target="media/image497.png"/><Relationship Id="rId496" Type="http://schemas.openxmlformats.org/officeDocument/2006/relationships/image" Target="media/image496.png"/><Relationship Id="rId495" Type="http://schemas.openxmlformats.org/officeDocument/2006/relationships/image" Target="media/image495.png"/><Relationship Id="rId494" Type="http://schemas.openxmlformats.org/officeDocument/2006/relationships/image" Target="media/image494.GIF"/><Relationship Id="rId493" Type="http://schemas.openxmlformats.org/officeDocument/2006/relationships/image" Target="media/image493.png"/><Relationship Id="rId492" Type="http://schemas.openxmlformats.org/officeDocument/2006/relationships/image" Target="media/image492.png"/><Relationship Id="rId491" Type="http://schemas.openxmlformats.org/officeDocument/2006/relationships/image" Target="media/image491.png"/><Relationship Id="rId490" Type="http://schemas.openxmlformats.org/officeDocument/2006/relationships/image" Target="media/image490.GIF"/><Relationship Id="rId49" Type="http://schemas.openxmlformats.org/officeDocument/2006/relationships/image" Target="media/image49.png"/><Relationship Id="rId489" Type="http://schemas.openxmlformats.org/officeDocument/2006/relationships/image" Target="media/image489.png"/><Relationship Id="rId488" Type="http://schemas.openxmlformats.org/officeDocument/2006/relationships/image" Target="media/image488.jpeg"/><Relationship Id="rId487" Type="http://schemas.openxmlformats.org/officeDocument/2006/relationships/image" Target="media/image487.GIF"/><Relationship Id="rId486" Type="http://schemas.openxmlformats.org/officeDocument/2006/relationships/image" Target="media/image486.GIF"/><Relationship Id="rId485" Type="http://schemas.openxmlformats.org/officeDocument/2006/relationships/image" Target="media/image485.GIF"/><Relationship Id="rId484" Type="http://schemas.openxmlformats.org/officeDocument/2006/relationships/image" Target="media/image484.GIF"/><Relationship Id="rId483" Type="http://schemas.openxmlformats.org/officeDocument/2006/relationships/image" Target="media/image483.GIF"/><Relationship Id="rId482" Type="http://schemas.openxmlformats.org/officeDocument/2006/relationships/image" Target="media/image482.GIF"/><Relationship Id="rId481" Type="http://schemas.openxmlformats.org/officeDocument/2006/relationships/image" Target="media/image481.GIF"/><Relationship Id="rId480" Type="http://schemas.openxmlformats.org/officeDocument/2006/relationships/image" Target="media/image480.GIF"/><Relationship Id="rId48" Type="http://schemas.openxmlformats.org/officeDocument/2006/relationships/image" Target="media/image48.png"/><Relationship Id="rId479" Type="http://schemas.openxmlformats.org/officeDocument/2006/relationships/image" Target="media/image479.GIF"/><Relationship Id="rId478" Type="http://schemas.openxmlformats.org/officeDocument/2006/relationships/image" Target="media/image478.GIF"/><Relationship Id="rId477" Type="http://schemas.openxmlformats.org/officeDocument/2006/relationships/image" Target="media/image477.GIF"/><Relationship Id="rId476" Type="http://schemas.openxmlformats.org/officeDocument/2006/relationships/image" Target="media/image476.GIF"/><Relationship Id="rId475" Type="http://schemas.openxmlformats.org/officeDocument/2006/relationships/image" Target="media/image475.GIF"/><Relationship Id="rId474" Type="http://schemas.openxmlformats.org/officeDocument/2006/relationships/image" Target="media/image474.GIF"/><Relationship Id="rId473" Type="http://schemas.openxmlformats.org/officeDocument/2006/relationships/image" Target="media/image473.png"/><Relationship Id="rId472" Type="http://schemas.openxmlformats.org/officeDocument/2006/relationships/image" Target="media/image472.png"/><Relationship Id="rId471" Type="http://schemas.openxmlformats.org/officeDocument/2006/relationships/image" Target="media/image471.png"/><Relationship Id="rId470" Type="http://schemas.openxmlformats.org/officeDocument/2006/relationships/image" Target="media/image470.jpeg"/><Relationship Id="rId47" Type="http://schemas.openxmlformats.org/officeDocument/2006/relationships/image" Target="media/image47.png"/><Relationship Id="rId469" Type="http://schemas.openxmlformats.org/officeDocument/2006/relationships/image" Target="media/image469.jpeg"/><Relationship Id="rId468" Type="http://schemas.openxmlformats.org/officeDocument/2006/relationships/image" Target="media/image468.png"/><Relationship Id="rId467" Type="http://schemas.openxmlformats.org/officeDocument/2006/relationships/image" Target="media/image467.png"/><Relationship Id="rId466" Type="http://schemas.openxmlformats.org/officeDocument/2006/relationships/image" Target="media/image466.png"/><Relationship Id="rId465" Type="http://schemas.openxmlformats.org/officeDocument/2006/relationships/image" Target="media/image465.png"/><Relationship Id="rId464" Type="http://schemas.openxmlformats.org/officeDocument/2006/relationships/image" Target="media/image464.png"/><Relationship Id="rId463" Type="http://schemas.openxmlformats.org/officeDocument/2006/relationships/image" Target="media/image463.png"/><Relationship Id="rId462" Type="http://schemas.openxmlformats.org/officeDocument/2006/relationships/image" Target="media/image462.jpeg"/><Relationship Id="rId461" Type="http://schemas.openxmlformats.org/officeDocument/2006/relationships/image" Target="media/image461.png"/><Relationship Id="rId460" Type="http://schemas.openxmlformats.org/officeDocument/2006/relationships/image" Target="media/image460.png"/><Relationship Id="rId46" Type="http://schemas.openxmlformats.org/officeDocument/2006/relationships/image" Target="media/image46.png"/><Relationship Id="rId459" Type="http://schemas.openxmlformats.org/officeDocument/2006/relationships/image" Target="media/image459.png"/><Relationship Id="rId458" Type="http://schemas.openxmlformats.org/officeDocument/2006/relationships/image" Target="media/image458.png"/><Relationship Id="rId457" Type="http://schemas.openxmlformats.org/officeDocument/2006/relationships/image" Target="media/image457.png"/><Relationship Id="rId456" Type="http://schemas.openxmlformats.org/officeDocument/2006/relationships/image" Target="media/image456.png"/><Relationship Id="rId455" Type="http://schemas.openxmlformats.org/officeDocument/2006/relationships/image" Target="media/image455.png"/><Relationship Id="rId454" Type="http://schemas.openxmlformats.org/officeDocument/2006/relationships/image" Target="media/image454.png"/><Relationship Id="rId453" Type="http://schemas.openxmlformats.org/officeDocument/2006/relationships/image" Target="media/image453.png"/><Relationship Id="rId452" Type="http://schemas.openxmlformats.org/officeDocument/2006/relationships/image" Target="media/image452.png"/><Relationship Id="rId451" Type="http://schemas.openxmlformats.org/officeDocument/2006/relationships/image" Target="media/image451.png"/><Relationship Id="rId450" Type="http://schemas.openxmlformats.org/officeDocument/2006/relationships/image" Target="media/image450.png"/><Relationship Id="rId45" Type="http://schemas.openxmlformats.org/officeDocument/2006/relationships/image" Target="media/image45.jpeg"/><Relationship Id="rId449" Type="http://schemas.openxmlformats.org/officeDocument/2006/relationships/image" Target="media/image449.png"/><Relationship Id="rId448" Type="http://schemas.openxmlformats.org/officeDocument/2006/relationships/image" Target="media/image448.png"/><Relationship Id="rId447" Type="http://schemas.openxmlformats.org/officeDocument/2006/relationships/image" Target="media/image447.png"/><Relationship Id="rId446" Type="http://schemas.openxmlformats.org/officeDocument/2006/relationships/image" Target="media/image446.png"/><Relationship Id="rId445" Type="http://schemas.openxmlformats.org/officeDocument/2006/relationships/image" Target="media/image445.png"/><Relationship Id="rId444" Type="http://schemas.openxmlformats.org/officeDocument/2006/relationships/image" Target="media/image444.png"/><Relationship Id="rId443" Type="http://schemas.openxmlformats.org/officeDocument/2006/relationships/image" Target="media/image443.png"/><Relationship Id="rId442" Type="http://schemas.openxmlformats.org/officeDocument/2006/relationships/image" Target="media/image442.png"/><Relationship Id="rId441" Type="http://schemas.openxmlformats.org/officeDocument/2006/relationships/image" Target="media/image441.png"/><Relationship Id="rId440" Type="http://schemas.openxmlformats.org/officeDocument/2006/relationships/image" Target="media/image440.png"/><Relationship Id="rId44" Type="http://schemas.openxmlformats.org/officeDocument/2006/relationships/image" Target="media/image44.png"/><Relationship Id="rId439" Type="http://schemas.openxmlformats.org/officeDocument/2006/relationships/image" Target="media/image439.png"/><Relationship Id="rId438" Type="http://schemas.openxmlformats.org/officeDocument/2006/relationships/image" Target="media/image438.png"/><Relationship Id="rId437" Type="http://schemas.openxmlformats.org/officeDocument/2006/relationships/image" Target="media/image437.png"/><Relationship Id="rId436" Type="http://schemas.openxmlformats.org/officeDocument/2006/relationships/image" Target="media/image436.png"/><Relationship Id="rId435" Type="http://schemas.openxmlformats.org/officeDocument/2006/relationships/image" Target="media/image435.png"/><Relationship Id="rId434" Type="http://schemas.openxmlformats.org/officeDocument/2006/relationships/image" Target="media/image434.png"/><Relationship Id="rId433" Type="http://schemas.openxmlformats.org/officeDocument/2006/relationships/image" Target="media/image433.png"/><Relationship Id="rId432" Type="http://schemas.openxmlformats.org/officeDocument/2006/relationships/image" Target="media/image432.png"/><Relationship Id="rId431" Type="http://schemas.openxmlformats.org/officeDocument/2006/relationships/image" Target="media/image431.png"/><Relationship Id="rId430" Type="http://schemas.openxmlformats.org/officeDocument/2006/relationships/image" Target="media/image430.png"/><Relationship Id="rId43" Type="http://schemas.openxmlformats.org/officeDocument/2006/relationships/image" Target="media/image43.png"/><Relationship Id="rId429" Type="http://schemas.openxmlformats.org/officeDocument/2006/relationships/image" Target="media/image429.png"/><Relationship Id="rId428" Type="http://schemas.openxmlformats.org/officeDocument/2006/relationships/image" Target="media/image428.png"/><Relationship Id="rId427" Type="http://schemas.openxmlformats.org/officeDocument/2006/relationships/image" Target="media/image427.png"/><Relationship Id="rId426" Type="http://schemas.openxmlformats.org/officeDocument/2006/relationships/image" Target="media/image426.png"/><Relationship Id="rId425" Type="http://schemas.openxmlformats.org/officeDocument/2006/relationships/image" Target="media/image425.png"/><Relationship Id="rId424" Type="http://schemas.openxmlformats.org/officeDocument/2006/relationships/image" Target="media/image424.png"/><Relationship Id="rId423" Type="http://schemas.openxmlformats.org/officeDocument/2006/relationships/image" Target="media/image423.png"/><Relationship Id="rId422" Type="http://schemas.openxmlformats.org/officeDocument/2006/relationships/image" Target="media/image422.png"/><Relationship Id="rId421" Type="http://schemas.openxmlformats.org/officeDocument/2006/relationships/image" Target="media/image421.png"/><Relationship Id="rId420" Type="http://schemas.openxmlformats.org/officeDocument/2006/relationships/image" Target="media/image420.png"/><Relationship Id="rId42" Type="http://schemas.openxmlformats.org/officeDocument/2006/relationships/image" Target="media/image42.png"/><Relationship Id="rId419" Type="http://schemas.openxmlformats.org/officeDocument/2006/relationships/image" Target="media/image419.png"/><Relationship Id="rId418" Type="http://schemas.openxmlformats.org/officeDocument/2006/relationships/image" Target="media/image418.png"/><Relationship Id="rId417" Type="http://schemas.openxmlformats.org/officeDocument/2006/relationships/image" Target="media/image417.png"/><Relationship Id="rId416" Type="http://schemas.openxmlformats.org/officeDocument/2006/relationships/image" Target="media/image416.png"/><Relationship Id="rId415" Type="http://schemas.openxmlformats.org/officeDocument/2006/relationships/image" Target="media/image415.png"/><Relationship Id="rId414" Type="http://schemas.openxmlformats.org/officeDocument/2006/relationships/image" Target="media/image414.png"/><Relationship Id="rId413" Type="http://schemas.openxmlformats.org/officeDocument/2006/relationships/image" Target="media/image413.png"/><Relationship Id="rId412" Type="http://schemas.openxmlformats.org/officeDocument/2006/relationships/image" Target="media/image412.png"/><Relationship Id="rId411" Type="http://schemas.openxmlformats.org/officeDocument/2006/relationships/image" Target="media/image411.png"/><Relationship Id="rId410" Type="http://schemas.openxmlformats.org/officeDocument/2006/relationships/image" Target="media/image410.png"/><Relationship Id="rId41" Type="http://schemas.openxmlformats.org/officeDocument/2006/relationships/image" Target="media/image41.png"/><Relationship Id="rId409" Type="http://schemas.openxmlformats.org/officeDocument/2006/relationships/image" Target="media/image409.png"/><Relationship Id="rId408" Type="http://schemas.openxmlformats.org/officeDocument/2006/relationships/image" Target="media/image408.png"/><Relationship Id="rId407" Type="http://schemas.openxmlformats.org/officeDocument/2006/relationships/image" Target="media/image407.png"/><Relationship Id="rId406" Type="http://schemas.openxmlformats.org/officeDocument/2006/relationships/image" Target="media/image406.png"/><Relationship Id="rId405" Type="http://schemas.openxmlformats.org/officeDocument/2006/relationships/image" Target="media/image405.png"/><Relationship Id="rId404" Type="http://schemas.openxmlformats.org/officeDocument/2006/relationships/image" Target="media/image404.png"/><Relationship Id="rId403" Type="http://schemas.openxmlformats.org/officeDocument/2006/relationships/image" Target="media/image403.png"/><Relationship Id="rId402" Type="http://schemas.openxmlformats.org/officeDocument/2006/relationships/image" Target="media/image402.png"/><Relationship Id="rId401" Type="http://schemas.openxmlformats.org/officeDocument/2006/relationships/image" Target="media/image401.png"/><Relationship Id="rId400" Type="http://schemas.openxmlformats.org/officeDocument/2006/relationships/image" Target="media/image400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9" Type="http://schemas.openxmlformats.org/officeDocument/2006/relationships/image" Target="media/image399.png"/><Relationship Id="rId398" Type="http://schemas.openxmlformats.org/officeDocument/2006/relationships/image" Target="media/image398.png"/><Relationship Id="rId397" Type="http://schemas.openxmlformats.org/officeDocument/2006/relationships/image" Target="media/image397.png"/><Relationship Id="rId396" Type="http://schemas.openxmlformats.org/officeDocument/2006/relationships/image" Target="media/image396.png"/><Relationship Id="rId395" Type="http://schemas.openxmlformats.org/officeDocument/2006/relationships/image" Target="media/image395.png"/><Relationship Id="rId394" Type="http://schemas.openxmlformats.org/officeDocument/2006/relationships/image" Target="media/image394.png"/><Relationship Id="rId393" Type="http://schemas.openxmlformats.org/officeDocument/2006/relationships/image" Target="media/image393.jpeg"/><Relationship Id="rId392" Type="http://schemas.openxmlformats.org/officeDocument/2006/relationships/image" Target="media/image392.png"/><Relationship Id="rId391" Type="http://schemas.openxmlformats.org/officeDocument/2006/relationships/image" Target="media/image391.png"/><Relationship Id="rId390" Type="http://schemas.openxmlformats.org/officeDocument/2006/relationships/image" Target="media/image390.png"/><Relationship Id="rId39" Type="http://schemas.openxmlformats.org/officeDocument/2006/relationships/image" Target="media/image39.png"/><Relationship Id="rId389" Type="http://schemas.openxmlformats.org/officeDocument/2006/relationships/image" Target="media/image389.png"/><Relationship Id="rId388" Type="http://schemas.openxmlformats.org/officeDocument/2006/relationships/image" Target="media/image388.png"/><Relationship Id="rId387" Type="http://schemas.openxmlformats.org/officeDocument/2006/relationships/image" Target="media/image387.png"/><Relationship Id="rId386" Type="http://schemas.openxmlformats.org/officeDocument/2006/relationships/image" Target="media/image386.png"/><Relationship Id="rId385" Type="http://schemas.openxmlformats.org/officeDocument/2006/relationships/image" Target="media/image385.png"/><Relationship Id="rId384" Type="http://schemas.openxmlformats.org/officeDocument/2006/relationships/image" Target="media/image384.png"/><Relationship Id="rId383" Type="http://schemas.openxmlformats.org/officeDocument/2006/relationships/image" Target="media/image383.png"/><Relationship Id="rId382" Type="http://schemas.openxmlformats.org/officeDocument/2006/relationships/image" Target="media/image382.png"/><Relationship Id="rId381" Type="http://schemas.openxmlformats.org/officeDocument/2006/relationships/image" Target="media/image381.png"/><Relationship Id="rId380" Type="http://schemas.openxmlformats.org/officeDocument/2006/relationships/image" Target="media/image380.png"/><Relationship Id="rId38" Type="http://schemas.openxmlformats.org/officeDocument/2006/relationships/image" Target="media/image38.png"/><Relationship Id="rId379" Type="http://schemas.openxmlformats.org/officeDocument/2006/relationships/image" Target="media/image379.png"/><Relationship Id="rId378" Type="http://schemas.openxmlformats.org/officeDocument/2006/relationships/image" Target="media/image378.jpeg"/><Relationship Id="rId377" Type="http://schemas.openxmlformats.org/officeDocument/2006/relationships/image" Target="media/image377.png"/><Relationship Id="rId376" Type="http://schemas.openxmlformats.org/officeDocument/2006/relationships/image" Target="media/image376.png"/><Relationship Id="rId375" Type="http://schemas.openxmlformats.org/officeDocument/2006/relationships/image" Target="media/image375.png"/><Relationship Id="rId374" Type="http://schemas.openxmlformats.org/officeDocument/2006/relationships/image" Target="media/image374.png"/><Relationship Id="rId373" Type="http://schemas.openxmlformats.org/officeDocument/2006/relationships/image" Target="media/image373.png"/><Relationship Id="rId372" Type="http://schemas.openxmlformats.org/officeDocument/2006/relationships/image" Target="media/image372.jpeg"/><Relationship Id="rId371" Type="http://schemas.openxmlformats.org/officeDocument/2006/relationships/image" Target="media/image371.png"/><Relationship Id="rId370" Type="http://schemas.openxmlformats.org/officeDocument/2006/relationships/image" Target="media/image370.png"/><Relationship Id="rId37" Type="http://schemas.openxmlformats.org/officeDocument/2006/relationships/image" Target="media/image37.png"/><Relationship Id="rId369" Type="http://schemas.openxmlformats.org/officeDocument/2006/relationships/image" Target="media/image369.png"/><Relationship Id="rId368" Type="http://schemas.openxmlformats.org/officeDocument/2006/relationships/image" Target="media/image368.png"/><Relationship Id="rId367" Type="http://schemas.openxmlformats.org/officeDocument/2006/relationships/image" Target="media/image367.png"/><Relationship Id="rId366" Type="http://schemas.openxmlformats.org/officeDocument/2006/relationships/image" Target="media/image366.png"/><Relationship Id="rId365" Type="http://schemas.openxmlformats.org/officeDocument/2006/relationships/image" Target="media/image365.png"/><Relationship Id="rId364" Type="http://schemas.openxmlformats.org/officeDocument/2006/relationships/image" Target="media/image364.png"/><Relationship Id="rId363" Type="http://schemas.openxmlformats.org/officeDocument/2006/relationships/image" Target="media/image363.jpeg"/><Relationship Id="rId362" Type="http://schemas.openxmlformats.org/officeDocument/2006/relationships/image" Target="media/image362.png"/><Relationship Id="rId361" Type="http://schemas.openxmlformats.org/officeDocument/2006/relationships/image" Target="media/image361.png"/><Relationship Id="rId360" Type="http://schemas.openxmlformats.org/officeDocument/2006/relationships/image" Target="media/image360.png"/><Relationship Id="rId36" Type="http://schemas.openxmlformats.org/officeDocument/2006/relationships/image" Target="media/image36.png"/><Relationship Id="rId359" Type="http://schemas.openxmlformats.org/officeDocument/2006/relationships/image" Target="media/image359.png"/><Relationship Id="rId358" Type="http://schemas.openxmlformats.org/officeDocument/2006/relationships/image" Target="media/image358.png"/><Relationship Id="rId357" Type="http://schemas.openxmlformats.org/officeDocument/2006/relationships/image" Target="media/image357.png"/><Relationship Id="rId356" Type="http://schemas.openxmlformats.org/officeDocument/2006/relationships/image" Target="media/image356.png"/><Relationship Id="rId355" Type="http://schemas.openxmlformats.org/officeDocument/2006/relationships/image" Target="media/image355.png"/><Relationship Id="rId354" Type="http://schemas.openxmlformats.org/officeDocument/2006/relationships/image" Target="media/image354.png"/><Relationship Id="rId353" Type="http://schemas.openxmlformats.org/officeDocument/2006/relationships/image" Target="media/image353.png"/><Relationship Id="rId352" Type="http://schemas.openxmlformats.org/officeDocument/2006/relationships/image" Target="media/image352.png"/><Relationship Id="rId351" Type="http://schemas.openxmlformats.org/officeDocument/2006/relationships/image" Target="media/image351.png"/><Relationship Id="rId350" Type="http://schemas.openxmlformats.org/officeDocument/2006/relationships/image" Target="media/image350.png"/><Relationship Id="rId35" Type="http://schemas.openxmlformats.org/officeDocument/2006/relationships/image" Target="media/image35.png"/><Relationship Id="rId349" Type="http://schemas.openxmlformats.org/officeDocument/2006/relationships/image" Target="media/image349.png"/><Relationship Id="rId348" Type="http://schemas.openxmlformats.org/officeDocument/2006/relationships/image" Target="media/image348.png"/><Relationship Id="rId347" Type="http://schemas.openxmlformats.org/officeDocument/2006/relationships/image" Target="media/image347.png"/><Relationship Id="rId346" Type="http://schemas.openxmlformats.org/officeDocument/2006/relationships/image" Target="media/image346.jpeg"/><Relationship Id="rId345" Type="http://schemas.openxmlformats.org/officeDocument/2006/relationships/image" Target="media/image345.png"/><Relationship Id="rId344" Type="http://schemas.openxmlformats.org/officeDocument/2006/relationships/image" Target="media/image344.png"/><Relationship Id="rId343" Type="http://schemas.openxmlformats.org/officeDocument/2006/relationships/image" Target="media/image343.png"/><Relationship Id="rId342" Type="http://schemas.openxmlformats.org/officeDocument/2006/relationships/image" Target="media/image342.png"/><Relationship Id="rId341" Type="http://schemas.openxmlformats.org/officeDocument/2006/relationships/image" Target="media/image341.png"/><Relationship Id="rId340" Type="http://schemas.openxmlformats.org/officeDocument/2006/relationships/image" Target="media/image340.png"/><Relationship Id="rId34" Type="http://schemas.openxmlformats.org/officeDocument/2006/relationships/image" Target="media/image34.png"/><Relationship Id="rId339" Type="http://schemas.openxmlformats.org/officeDocument/2006/relationships/image" Target="media/image339.jpeg"/><Relationship Id="rId338" Type="http://schemas.openxmlformats.org/officeDocument/2006/relationships/image" Target="media/image338.png"/><Relationship Id="rId337" Type="http://schemas.openxmlformats.org/officeDocument/2006/relationships/image" Target="media/image337.png"/><Relationship Id="rId336" Type="http://schemas.openxmlformats.org/officeDocument/2006/relationships/image" Target="media/image336.png"/><Relationship Id="rId335" Type="http://schemas.openxmlformats.org/officeDocument/2006/relationships/image" Target="media/image335.png"/><Relationship Id="rId334" Type="http://schemas.openxmlformats.org/officeDocument/2006/relationships/image" Target="media/image334.png"/><Relationship Id="rId333" Type="http://schemas.openxmlformats.org/officeDocument/2006/relationships/image" Target="media/image333.png"/><Relationship Id="rId332" Type="http://schemas.openxmlformats.org/officeDocument/2006/relationships/image" Target="media/image332.png"/><Relationship Id="rId331" Type="http://schemas.openxmlformats.org/officeDocument/2006/relationships/image" Target="media/image331.jpeg"/><Relationship Id="rId330" Type="http://schemas.openxmlformats.org/officeDocument/2006/relationships/image" Target="media/image330.png"/><Relationship Id="rId33" Type="http://schemas.openxmlformats.org/officeDocument/2006/relationships/image" Target="media/image33.png"/><Relationship Id="rId329" Type="http://schemas.openxmlformats.org/officeDocument/2006/relationships/image" Target="media/image329.png"/><Relationship Id="rId328" Type="http://schemas.openxmlformats.org/officeDocument/2006/relationships/image" Target="media/image328.png"/><Relationship Id="rId327" Type="http://schemas.openxmlformats.org/officeDocument/2006/relationships/image" Target="media/image327.png"/><Relationship Id="rId326" Type="http://schemas.openxmlformats.org/officeDocument/2006/relationships/image" Target="media/image326.png"/><Relationship Id="rId325" Type="http://schemas.openxmlformats.org/officeDocument/2006/relationships/image" Target="media/image325.png"/><Relationship Id="rId324" Type="http://schemas.openxmlformats.org/officeDocument/2006/relationships/image" Target="media/image324.png"/><Relationship Id="rId323" Type="http://schemas.openxmlformats.org/officeDocument/2006/relationships/image" Target="media/image323.png"/><Relationship Id="rId322" Type="http://schemas.openxmlformats.org/officeDocument/2006/relationships/image" Target="media/image322.png"/><Relationship Id="rId321" Type="http://schemas.openxmlformats.org/officeDocument/2006/relationships/image" Target="media/image321.png"/><Relationship Id="rId320" Type="http://schemas.openxmlformats.org/officeDocument/2006/relationships/image" Target="media/image320.png"/><Relationship Id="rId32" Type="http://schemas.openxmlformats.org/officeDocument/2006/relationships/image" Target="media/image32.png"/><Relationship Id="rId319" Type="http://schemas.openxmlformats.org/officeDocument/2006/relationships/image" Target="media/image319.png"/><Relationship Id="rId318" Type="http://schemas.openxmlformats.org/officeDocument/2006/relationships/image" Target="media/image318.png"/><Relationship Id="rId317" Type="http://schemas.openxmlformats.org/officeDocument/2006/relationships/image" Target="media/image317.jpeg"/><Relationship Id="rId316" Type="http://schemas.openxmlformats.org/officeDocument/2006/relationships/image" Target="media/image316.png"/><Relationship Id="rId315" Type="http://schemas.openxmlformats.org/officeDocument/2006/relationships/image" Target="media/image315.png"/><Relationship Id="rId314" Type="http://schemas.openxmlformats.org/officeDocument/2006/relationships/image" Target="media/image314.png"/><Relationship Id="rId313" Type="http://schemas.openxmlformats.org/officeDocument/2006/relationships/image" Target="media/image313.png"/><Relationship Id="rId312" Type="http://schemas.openxmlformats.org/officeDocument/2006/relationships/image" Target="media/image312.png"/><Relationship Id="rId311" Type="http://schemas.openxmlformats.org/officeDocument/2006/relationships/image" Target="media/image311.png"/><Relationship Id="rId310" Type="http://schemas.openxmlformats.org/officeDocument/2006/relationships/image" Target="media/image310.png"/><Relationship Id="rId31" Type="http://schemas.openxmlformats.org/officeDocument/2006/relationships/image" Target="media/image31.png"/><Relationship Id="rId309" Type="http://schemas.openxmlformats.org/officeDocument/2006/relationships/image" Target="media/image309.jpeg"/><Relationship Id="rId308" Type="http://schemas.openxmlformats.org/officeDocument/2006/relationships/image" Target="media/image308.png"/><Relationship Id="rId307" Type="http://schemas.openxmlformats.org/officeDocument/2006/relationships/image" Target="media/image307.png"/><Relationship Id="rId306" Type="http://schemas.openxmlformats.org/officeDocument/2006/relationships/image" Target="media/image306.png"/><Relationship Id="rId305" Type="http://schemas.openxmlformats.org/officeDocument/2006/relationships/image" Target="media/image305.png"/><Relationship Id="rId304" Type="http://schemas.openxmlformats.org/officeDocument/2006/relationships/image" Target="media/image304.jpeg"/><Relationship Id="rId303" Type="http://schemas.openxmlformats.org/officeDocument/2006/relationships/image" Target="media/image303.png"/><Relationship Id="rId302" Type="http://schemas.openxmlformats.org/officeDocument/2006/relationships/image" Target="media/image302.png"/><Relationship Id="rId301" Type="http://schemas.openxmlformats.org/officeDocument/2006/relationships/image" Target="media/image301.png"/><Relationship Id="rId300" Type="http://schemas.openxmlformats.org/officeDocument/2006/relationships/image" Target="media/image300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9" Type="http://schemas.openxmlformats.org/officeDocument/2006/relationships/image" Target="media/image299.png"/><Relationship Id="rId298" Type="http://schemas.openxmlformats.org/officeDocument/2006/relationships/image" Target="media/image298.png"/><Relationship Id="rId297" Type="http://schemas.openxmlformats.org/officeDocument/2006/relationships/image" Target="media/image297.png"/><Relationship Id="rId296" Type="http://schemas.openxmlformats.org/officeDocument/2006/relationships/image" Target="media/image296.png"/><Relationship Id="rId295" Type="http://schemas.openxmlformats.org/officeDocument/2006/relationships/image" Target="media/image295.png"/><Relationship Id="rId294" Type="http://schemas.openxmlformats.org/officeDocument/2006/relationships/image" Target="media/image294.png"/><Relationship Id="rId293" Type="http://schemas.openxmlformats.org/officeDocument/2006/relationships/image" Target="media/image293.png"/><Relationship Id="rId292" Type="http://schemas.openxmlformats.org/officeDocument/2006/relationships/image" Target="media/image292.png"/><Relationship Id="rId291" Type="http://schemas.openxmlformats.org/officeDocument/2006/relationships/image" Target="media/image291.png"/><Relationship Id="rId290" Type="http://schemas.openxmlformats.org/officeDocument/2006/relationships/image" Target="media/image290.png"/><Relationship Id="rId29" Type="http://schemas.openxmlformats.org/officeDocument/2006/relationships/image" Target="media/image29.png"/><Relationship Id="rId289" Type="http://schemas.openxmlformats.org/officeDocument/2006/relationships/image" Target="media/image289.png"/><Relationship Id="rId288" Type="http://schemas.openxmlformats.org/officeDocument/2006/relationships/image" Target="media/image288.png"/><Relationship Id="rId287" Type="http://schemas.openxmlformats.org/officeDocument/2006/relationships/image" Target="media/image287.jpeg"/><Relationship Id="rId286" Type="http://schemas.openxmlformats.org/officeDocument/2006/relationships/image" Target="media/image286.png"/><Relationship Id="rId285" Type="http://schemas.openxmlformats.org/officeDocument/2006/relationships/image" Target="media/image285.png"/><Relationship Id="rId284" Type="http://schemas.openxmlformats.org/officeDocument/2006/relationships/image" Target="media/image284.png"/><Relationship Id="rId283" Type="http://schemas.openxmlformats.org/officeDocument/2006/relationships/image" Target="media/image283.png"/><Relationship Id="rId282" Type="http://schemas.openxmlformats.org/officeDocument/2006/relationships/image" Target="media/image282.png"/><Relationship Id="rId281" Type="http://schemas.openxmlformats.org/officeDocument/2006/relationships/image" Target="media/image281.png"/><Relationship Id="rId280" Type="http://schemas.openxmlformats.org/officeDocument/2006/relationships/image" Target="media/image280.png"/><Relationship Id="rId28" Type="http://schemas.openxmlformats.org/officeDocument/2006/relationships/image" Target="media/image28.png"/><Relationship Id="rId279" Type="http://schemas.openxmlformats.org/officeDocument/2006/relationships/image" Target="media/image279.png"/><Relationship Id="rId278" Type="http://schemas.openxmlformats.org/officeDocument/2006/relationships/image" Target="media/image278.png"/><Relationship Id="rId277" Type="http://schemas.openxmlformats.org/officeDocument/2006/relationships/image" Target="media/image277.png"/><Relationship Id="rId276" Type="http://schemas.openxmlformats.org/officeDocument/2006/relationships/image" Target="media/image276.png"/><Relationship Id="rId275" Type="http://schemas.openxmlformats.org/officeDocument/2006/relationships/image" Target="media/image275.png"/><Relationship Id="rId274" Type="http://schemas.openxmlformats.org/officeDocument/2006/relationships/image" Target="media/image274.jpeg"/><Relationship Id="rId273" Type="http://schemas.openxmlformats.org/officeDocument/2006/relationships/image" Target="media/image273.png"/><Relationship Id="rId272" Type="http://schemas.openxmlformats.org/officeDocument/2006/relationships/image" Target="media/image272.png"/><Relationship Id="rId271" Type="http://schemas.openxmlformats.org/officeDocument/2006/relationships/image" Target="media/image271.png"/><Relationship Id="rId270" Type="http://schemas.openxmlformats.org/officeDocument/2006/relationships/image" Target="media/image270.png"/><Relationship Id="rId27" Type="http://schemas.openxmlformats.org/officeDocument/2006/relationships/image" Target="media/image27.png"/><Relationship Id="rId269" Type="http://schemas.openxmlformats.org/officeDocument/2006/relationships/image" Target="media/image269.png"/><Relationship Id="rId268" Type="http://schemas.openxmlformats.org/officeDocument/2006/relationships/image" Target="media/image268.png"/><Relationship Id="rId267" Type="http://schemas.openxmlformats.org/officeDocument/2006/relationships/image" Target="media/image267.png"/><Relationship Id="rId266" Type="http://schemas.openxmlformats.org/officeDocument/2006/relationships/image" Target="media/image266.png"/><Relationship Id="rId265" Type="http://schemas.openxmlformats.org/officeDocument/2006/relationships/image" Target="media/image265.png"/><Relationship Id="rId264" Type="http://schemas.openxmlformats.org/officeDocument/2006/relationships/image" Target="media/image264.png"/><Relationship Id="rId263" Type="http://schemas.openxmlformats.org/officeDocument/2006/relationships/image" Target="media/image263.png"/><Relationship Id="rId262" Type="http://schemas.openxmlformats.org/officeDocument/2006/relationships/image" Target="media/image262.png"/><Relationship Id="rId261" Type="http://schemas.openxmlformats.org/officeDocument/2006/relationships/image" Target="media/image261.jpeg"/><Relationship Id="rId260" Type="http://schemas.openxmlformats.org/officeDocument/2006/relationships/image" Target="media/image260.png"/><Relationship Id="rId26" Type="http://schemas.openxmlformats.org/officeDocument/2006/relationships/image" Target="media/image26.png"/><Relationship Id="rId259" Type="http://schemas.openxmlformats.org/officeDocument/2006/relationships/image" Target="media/image259.png"/><Relationship Id="rId258" Type="http://schemas.openxmlformats.org/officeDocument/2006/relationships/image" Target="media/image258.png"/><Relationship Id="rId257" Type="http://schemas.openxmlformats.org/officeDocument/2006/relationships/image" Target="media/image257.png"/><Relationship Id="rId256" Type="http://schemas.openxmlformats.org/officeDocument/2006/relationships/image" Target="media/image256.png"/><Relationship Id="rId255" Type="http://schemas.openxmlformats.org/officeDocument/2006/relationships/image" Target="media/image255.png"/><Relationship Id="rId254" Type="http://schemas.openxmlformats.org/officeDocument/2006/relationships/image" Target="media/image254.png"/><Relationship Id="rId253" Type="http://schemas.openxmlformats.org/officeDocument/2006/relationships/image" Target="media/image253.jpeg"/><Relationship Id="rId252" Type="http://schemas.openxmlformats.org/officeDocument/2006/relationships/image" Target="media/image252.png"/><Relationship Id="rId251" Type="http://schemas.openxmlformats.org/officeDocument/2006/relationships/image" Target="media/image251.jpeg"/><Relationship Id="rId250" Type="http://schemas.openxmlformats.org/officeDocument/2006/relationships/image" Target="media/image250.png"/><Relationship Id="rId25" Type="http://schemas.openxmlformats.org/officeDocument/2006/relationships/image" Target="media/image25.png"/><Relationship Id="rId249" Type="http://schemas.openxmlformats.org/officeDocument/2006/relationships/image" Target="media/image249.png"/><Relationship Id="rId248" Type="http://schemas.openxmlformats.org/officeDocument/2006/relationships/image" Target="media/image248.png"/><Relationship Id="rId247" Type="http://schemas.openxmlformats.org/officeDocument/2006/relationships/image" Target="media/image247.png"/><Relationship Id="rId246" Type="http://schemas.openxmlformats.org/officeDocument/2006/relationships/image" Target="media/image246.png"/><Relationship Id="rId245" Type="http://schemas.openxmlformats.org/officeDocument/2006/relationships/image" Target="media/image245.png"/><Relationship Id="rId244" Type="http://schemas.openxmlformats.org/officeDocument/2006/relationships/image" Target="media/image244.png"/><Relationship Id="rId243" Type="http://schemas.openxmlformats.org/officeDocument/2006/relationships/image" Target="media/image243.png"/><Relationship Id="rId242" Type="http://schemas.openxmlformats.org/officeDocument/2006/relationships/image" Target="media/image242.png"/><Relationship Id="rId241" Type="http://schemas.openxmlformats.org/officeDocument/2006/relationships/image" Target="media/image241.png"/><Relationship Id="rId240" Type="http://schemas.openxmlformats.org/officeDocument/2006/relationships/image" Target="media/image240.png"/><Relationship Id="rId24" Type="http://schemas.openxmlformats.org/officeDocument/2006/relationships/image" Target="media/image24.png"/><Relationship Id="rId239" Type="http://schemas.openxmlformats.org/officeDocument/2006/relationships/image" Target="media/image239.png"/><Relationship Id="rId238" Type="http://schemas.openxmlformats.org/officeDocument/2006/relationships/image" Target="media/image238.png"/><Relationship Id="rId237" Type="http://schemas.openxmlformats.org/officeDocument/2006/relationships/image" Target="media/image237.png"/><Relationship Id="rId236" Type="http://schemas.openxmlformats.org/officeDocument/2006/relationships/image" Target="media/image236.png"/><Relationship Id="rId235" Type="http://schemas.openxmlformats.org/officeDocument/2006/relationships/image" Target="media/image235.png"/><Relationship Id="rId234" Type="http://schemas.openxmlformats.org/officeDocument/2006/relationships/image" Target="media/image234.png"/><Relationship Id="rId233" Type="http://schemas.openxmlformats.org/officeDocument/2006/relationships/image" Target="media/image233.png"/><Relationship Id="rId232" Type="http://schemas.openxmlformats.org/officeDocument/2006/relationships/image" Target="media/image232.png"/><Relationship Id="rId231" Type="http://schemas.openxmlformats.org/officeDocument/2006/relationships/image" Target="media/image231.png"/><Relationship Id="rId230" Type="http://schemas.openxmlformats.org/officeDocument/2006/relationships/image" Target="media/image230.png"/><Relationship Id="rId23" Type="http://schemas.openxmlformats.org/officeDocument/2006/relationships/image" Target="media/image23.png"/><Relationship Id="rId229" Type="http://schemas.openxmlformats.org/officeDocument/2006/relationships/image" Target="media/image229.jpeg"/><Relationship Id="rId228" Type="http://schemas.openxmlformats.org/officeDocument/2006/relationships/image" Target="media/image228.png"/><Relationship Id="rId227" Type="http://schemas.openxmlformats.org/officeDocument/2006/relationships/image" Target="media/image227.png"/><Relationship Id="rId226" Type="http://schemas.openxmlformats.org/officeDocument/2006/relationships/image" Target="media/image226.png"/><Relationship Id="rId225" Type="http://schemas.openxmlformats.org/officeDocument/2006/relationships/image" Target="media/image225.png"/><Relationship Id="rId224" Type="http://schemas.openxmlformats.org/officeDocument/2006/relationships/image" Target="media/image224.png"/><Relationship Id="rId223" Type="http://schemas.openxmlformats.org/officeDocument/2006/relationships/image" Target="media/image223.png"/><Relationship Id="rId222" Type="http://schemas.openxmlformats.org/officeDocument/2006/relationships/image" Target="media/image222.png"/><Relationship Id="rId221" Type="http://schemas.openxmlformats.org/officeDocument/2006/relationships/image" Target="media/image221.png"/><Relationship Id="rId220" Type="http://schemas.openxmlformats.org/officeDocument/2006/relationships/image" Target="media/image220.png"/><Relationship Id="rId22" Type="http://schemas.openxmlformats.org/officeDocument/2006/relationships/image" Target="media/image22.png"/><Relationship Id="rId219" Type="http://schemas.openxmlformats.org/officeDocument/2006/relationships/image" Target="media/image219.png"/><Relationship Id="rId218" Type="http://schemas.openxmlformats.org/officeDocument/2006/relationships/image" Target="media/image218.png"/><Relationship Id="rId217" Type="http://schemas.openxmlformats.org/officeDocument/2006/relationships/image" Target="media/image217.png"/><Relationship Id="rId216" Type="http://schemas.openxmlformats.org/officeDocument/2006/relationships/image" Target="media/image216.png"/><Relationship Id="rId215" Type="http://schemas.openxmlformats.org/officeDocument/2006/relationships/image" Target="media/image215.png"/><Relationship Id="rId214" Type="http://schemas.openxmlformats.org/officeDocument/2006/relationships/image" Target="media/image214.jpeg"/><Relationship Id="rId213" Type="http://schemas.openxmlformats.org/officeDocument/2006/relationships/image" Target="media/image213.png"/><Relationship Id="rId212" Type="http://schemas.openxmlformats.org/officeDocument/2006/relationships/image" Target="media/image212.png"/><Relationship Id="rId211" Type="http://schemas.openxmlformats.org/officeDocument/2006/relationships/image" Target="media/image211.png"/><Relationship Id="rId210" Type="http://schemas.openxmlformats.org/officeDocument/2006/relationships/image" Target="media/image210.png"/><Relationship Id="rId21" Type="http://schemas.openxmlformats.org/officeDocument/2006/relationships/image" Target="media/image21.png"/><Relationship Id="rId209" Type="http://schemas.openxmlformats.org/officeDocument/2006/relationships/image" Target="media/image209.png"/><Relationship Id="rId208" Type="http://schemas.openxmlformats.org/officeDocument/2006/relationships/image" Target="media/image208.png"/><Relationship Id="rId207" Type="http://schemas.openxmlformats.org/officeDocument/2006/relationships/image" Target="media/image207.jpeg"/><Relationship Id="rId206" Type="http://schemas.openxmlformats.org/officeDocument/2006/relationships/image" Target="media/image206.jpeg"/><Relationship Id="rId205" Type="http://schemas.openxmlformats.org/officeDocument/2006/relationships/image" Target="media/image205.png"/><Relationship Id="rId204" Type="http://schemas.openxmlformats.org/officeDocument/2006/relationships/image" Target="media/image204.png"/><Relationship Id="rId203" Type="http://schemas.openxmlformats.org/officeDocument/2006/relationships/image" Target="media/image203.png"/><Relationship Id="rId202" Type="http://schemas.openxmlformats.org/officeDocument/2006/relationships/image" Target="media/image202.png"/><Relationship Id="rId201" Type="http://schemas.openxmlformats.org/officeDocument/2006/relationships/image" Target="media/image201.png"/><Relationship Id="rId200" Type="http://schemas.openxmlformats.org/officeDocument/2006/relationships/image" Target="media/image200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9" Type="http://schemas.openxmlformats.org/officeDocument/2006/relationships/image" Target="media/image199.png"/><Relationship Id="rId198" Type="http://schemas.openxmlformats.org/officeDocument/2006/relationships/image" Target="media/image198.png"/><Relationship Id="rId197" Type="http://schemas.openxmlformats.org/officeDocument/2006/relationships/image" Target="media/image197.jpeg"/><Relationship Id="rId196" Type="http://schemas.openxmlformats.org/officeDocument/2006/relationships/image" Target="media/image196.png"/><Relationship Id="rId195" Type="http://schemas.openxmlformats.org/officeDocument/2006/relationships/image" Target="media/image195.jpeg"/><Relationship Id="rId194" Type="http://schemas.openxmlformats.org/officeDocument/2006/relationships/image" Target="media/image194.png"/><Relationship Id="rId193" Type="http://schemas.openxmlformats.org/officeDocument/2006/relationships/image" Target="media/image193.png"/><Relationship Id="rId192" Type="http://schemas.openxmlformats.org/officeDocument/2006/relationships/image" Target="media/image192.png"/><Relationship Id="rId191" Type="http://schemas.openxmlformats.org/officeDocument/2006/relationships/image" Target="media/image191.jpeg"/><Relationship Id="rId190" Type="http://schemas.openxmlformats.org/officeDocument/2006/relationships/image" Target="media/image190.png"/><Relationship Id="rId19" Type="http://schemas.openxmlformats.org/officeDocument/2006/relationships/image" Target="media/image19.png"/><Relationship Id="rId189" Type="http://schemas.openxmlformats.org/officeDocument/2006/relationships/image" Target="media/image189.png"/><Relationship Id="rId188" Type="http://schemas.openxmlformats.org/officeDocument/2006/relationships/image" Target="media/image188.png"/><Relationship Id="rId187" Type="http://schemas.openxmlformats.org/officeDocument/2006/relationships/image" Target="media/image187.png"/><Relationship Id="rId186" Type="http://schemas.openxmlformats.org/officeDocument/2006/relationships/image" Target="media/image186.jpeg"/><Relationship Id="rId185" Type="http://schemas.openxmlformats.org/officeDocument/2006/relationships/image" Target="media/image185.jpeg"/><Relationship Id="rId184" Type="http://schemas.openxmlformats.org/officeDocument/2006/relationships/image" Target="media/image184.png"/><Relationship Id="rId183" Type="http://schemas.openxmlformats.org/officeDocument/2006/relationships/image" Target="media/image183.jpeg"/><Relationship Id="rId182" Type="http://schemas.openxmlformats.org/officeDocument/2006/relationships/image" Target="media/image182.jpeg"/><Relationship Id="rId181" Type="http://schemas.openxmlformats.org/officeDocument/2006/relationships/image" Target="media/image181.jpeg"/><Relationship Id="rId180" Type="http://schemas.openxmlformats.org/officeDocument/2006/relationships/image" Target="media/image180.png"/><Relationship Id="rId18" Type="http://schemas.openxmlformats.org/officeDocument/2006/relationships/image" Target="media/image18.png"/><Relationship Id="rId179" Type="http://schemas.openxmlformats.org/officeDocument/2006/relationships/image" Target="media/image179.jpeg"/><Relationship Id="rId178" Type="http://schemas.openxmlformats.org/officeDocument/2006/relationships/image" Target="media/image178.png"/><Relationship Id="rId177" Type="http://schemas.openxmlformats.org/officeDocument/2006/relationships/image" Target="media/image177.png"/><Relationship Id="rId176" Type="http://schemas.openxmlformats.org/officeDocument/2006/relationships/image" Target="media/image176.png"/><Relationship Id="rId175" Type="http://schemas.openxmlformats.org/officeDocument/2006/relationships/image" Target="media/image175.png"/><Relationship Id="rId174" Type="http://schemas.openxmlformats.org/officeDocument/2006/relationships/image" Target="media/image174.png"/><Relationship Id="rId173" Type="http://schemas.openxmlformats.org/officeDocument/2006/relationships/image" Target="media/image173.png"/><Relationship Id="rId172" Type="http://schemas.openxmlformats.org/officeDocument/2006/relationships/image" Target="media/image172.jpeg"/><Relationship Id="rId171" Type="http://schemas.openxmlformats.org/officeDocument/2006/relationships/image" Target="media/image171.jpeg"/><Relationship Id="rId170" Type="http://schemas.openxmlformats.org/officeDocument/2006/relationships/image" Target="media/image170.png"/><Relationship Id="rId17" Type="http://schemas.openxmlformats.org/officeDocument/2006/relationships/image" Target="media/image17.png"/><Relationship Id="rId169" Type="http://schemas.openxmlformats.org/officeDocument/2006/relationships/image" Target="media/image169.png"/><Relationship Id="rId168" Type="http://schemas.openxmlformats.org/officeDocument/2006/relationships/image" Target="media/image168.png"/><Relationship Id="rId167" Type="http://schemas.openxmlformats.org/officeDocument/2006/relationships/image" Target="media/image167.png"/><Relationship Id="rId166" Type="http://schemas.openxmlformats.org/officeDocument/2006/relationships/image" Target="media/image166.png"/><Relationship Id="rId165" Type="http://schemas.openxmlformats.org/officeDocument/2006/relationships/image" Target="media/image165.png"/><Relationship Id="rId164" Type="http://schemas.openxmlformats.org/officeDocument/2006/relationships/image" Target="media/image164.png"/><Relationship Id="rId163" Type="http://schemas.openxmlformats.org/officeDocument/2006/relationships/image" Target="media/image163.png"/><Relationship Id="rId162" Type="http://schemas.openxmlformats.org/officeDocument/2006/relationships/image" Target="media/image162.png"/><Relationship Id="rId161" Type="http://schemas.openxmlformats.org/officeDocument/2006/relationships/image" Target="media/image161.png"/><Relationship Id="rId160" Type="http://schemas.openxmlformats.org/officeDocument/2006/relationships/image" Target="media/image160.png"/><Relationship Id="rId16" Type="http://schemas.openxmlformats.org/officeDocument/2006/relationships/image" Target="media/image16.png"/><Relationship Id="rId159" Type="http://schemas.openxmlformats.org/officeDocument/2006/relationships/image" Target="media/image159.png"/><Relationship Id="rId158" Type="http://schemas.openxmlformats.org/officeDocument/2006/relationships/image" Target="media/image158.png"/><Relationship Id="rId157" Type="http://schemas.openxmlformats.org/officeDocument/2006/relationships/image" Target="media/image157.png"/><Relationship Id="rId156" Type="http://schemas.openxmlformats.org/officeDocument/2006/relationships/image" Target="media/image156.png"/><Relationship Id="rId155" Type="http://schemas.openxmlformats.org/officeDocument/2006/relationships/image" Target="media/image155.png"/><Relationship Id="rId154" Type="http://schemas.openxmlformats.org/officeDocument/2006/relationships/image" Target="media/image154.png"/><Relationship Id="rId153" Type="http://schemas.openxmlformats.org/officeDocument/2006/relationships/image" Target="media/image153.png"/><Relationship Id="rId152" Type="http://schemas.openxmlformats.org/officeDocument/2006/relationships/image" Target="media/image152.png"/><Relationship Id="rId151" Type="http://schemas.openxmlformats.org/officeDocument/2006/relationships/image" Target="media/image151.png"/><Relationship Id="rId150" Type="http://schemas.openxmlformats.org/officeDocument/2006/relationships/image" Target="media/image150.png"/><Relationship Id="rId15" Type="http://schemas.openxmlformats.org/officeDocument/2006/relationships/image" Target="media/image15.png"/><Relationship Id="rId149" Type="http://schemas.openxmlformats.org/officeDocument/2006/relationships/image" Target="media/image149.png"/><Relationship Id="rId148" Type="http://schemas.openxmlformats.org/officeDocument/2006/relationships/image" Target="media/image148.png"/><Relationship Id="rId147" Type="http://schemas.openxmlformats.org/officeDocument/2006/relationships/image" Target="media/image147.png"/><Relationship Id="rId146" Type="http://schemas.openxmlformats.org/officeDocument/2006/relationships/image" Target="media/image146.png"/><Relationship Id="rId145" Type="http://schemas.openxmlformats.org/officeDocument/2006/relationships/image" Target="media/image145.png"/><Relationship Id="rId144" Type="http://schemas.openxmlformats.org/officeDocument/2006/relationships/image" Target="media/image144.png"/><Relationship Id="rId143" Type="http://schemas.openxmlformats.org/officeDocument/2006/relationships/image" Target="media/image143.jpeg"/><Relationship Id="rId142" Type="http://schemas.openxmlformats.org/officeDocument/2006/relationships/image" Target="media/image142.png"/><Relationship Id="rId141" Type="http://schemas.openxmlformats.org/officeDocument/2006/relationships/image" Target="media/image141.png"/><Relationship Id="rId140" Type="http://schemas.openxmlformats.org/officeDocument/2006/relationships/image" Target="media/image140.png"/><Relationship Id="rId14" Type="http://schemas.openxmlformats.org/officeDocument/2006/relationships/image" Target="media/image14.png"/><Relationship Id="rId139" Type="http://schemas.openxmlformats.org/officeDocument/2006/relationships/image" Target="media/image139.png"/><Relationship Id="rId138" Type="http://schemas.openxmlformats.org/officeDocument/2006/relationships/image" Target="media/image138.jpeg"/><Relationship Id="rId137" Type="http://schemas.openxmlformats.org/officeDocument/2006/relationships/image" Target="media/image137.png"/><Relationship Id="rId136" Type="http://schemas.openxmlformats.org/officeDocument/2006/relationships/image" Target="media/image136.png"/><Relationship Id="rId135" Type="http://schemas.openxmlformats.org/officeDocument/2006/relationships/image" Target="media/image135.png"/><Relationship Id="rId134" Type="http://schemas.openxmlformats.org/officeDocument/2006/relationships/image" Target="media/image134.png"/><Relationship Id="rId133" Type="http://schemas.openxmlformats.org/officeDocument/2006/relationships/image" Target="media/image133.png"/><Relationship Id="rId132" Type="http://schemas.openxmlformats.org/officeDocument/2006/relationships/image" Target="media/image132.png"/><Relationship Id="rId131" Type="http://schemas.openxmlformats.org/officeDocument/2006/relationships/image" Target="media/image131.png"/><Relationship Id="rId130" Type="http://schemas.openxmlformats.org/officeDocument/2006/relationships/image" Target="media/image130.png"/><Relationship Id="rId13" Type="http://schemas.openxmlformats.org/officeDocument/2006/relationships/image" Target="media/image13.png"/><Relationship Id="rId129" Type="http://schemas.openxmlformats.org/officeDocument/2006/relationships/image" Target="media/image129.png"/><Relationship Id="rId128" Type="http://schemas.openxmlformats.org/officeDocument/2006/relationships/image" Target="media/image128.jpeg"/><Relationship Id="rId127" Type="http://schemas.openxmlformats.org/officeDocument/2006/relationships/image" Target="media/image127.png"/><Relationship Id="rId126" Type="http://schemas.openxmlformats.org/officeDocument/2006/relationships/image" Target="media/image126.png"/><Relationship Id="rId125" Type="http://schemas.openxmlformats.org/officeDocument/2006/relationships/image" Target="media/image125.png"/><Relationship Id="rId124" Type="http://schemas.openxmlformats.org/officeDocument/2006/relationships/image" Target="media/image124.png"/><Relationship Id="rId123" Type="http://schemas.openxmlformats.org/officeDocument/2006/relationships/image" Target="media/image123.png"/><Relationship Id="rId122" Type="http://schemas.openxmlformats.org/officeDocument/2006/relationships/image" Target="media/image122.png"/><Relationship Id="rId121" Type="http://schemas.openxmlformats.org/officeDocument/2006/relationships/image" Target="media/image121.png"/><Relationship Id="rId120" Type="http://schemas.openxmlformats.org/officeDocument/2006/relationships/image" Target="media/image120.png"/><Relationship Id="rId12" Type="http://schemas.openxmlformats.org/officeDocument/2006/relationships/image" Target="media/image12.png"/><Relationship Id="rId119" Type="http://schemas.openxmlformats.org/officeDocument/2006/relationships/image" Target="media/image119.jpeg"/><Relationship Id="rId118" Type="http://schemas.openxmlformats.org/officeDocument/2006/relationships/image" Target="media/image118.png"/><Relationship Id="rId117" Type="http://schemas.openxmlformats.org/officeDocument/2006/relationships/image" Target="media/image117.png"/><Relationship Id="rId116" Type="http://schemas.openxmlformats.org/officeDocument/2006/relationships/image" Target="media/image116.png"/><Relationship Id="rId115" Type="http://schemas.openxmlformats.org/officeDocument/2006/relationships/image" Target="media/image115.png"/><Relationship Id="rId114" Type="http://schemas.openxmlformats.org/officeDocument/2006/relationships/image" Target="media/image114.png"/><Relationship Id="rId113" Type="http://schemas.openxmlformats.org/officeDocument/2006/relationships/image" Target="media/image113.png"/><Relationship Id="rId112" Type="http://schemas.openxmlformats.org/officeDocument/2006/relationships/image" Target="media/image112.png"/><Relationship Id="rId111" Type="http://schemas.openxmlformats.org/officeDocument/2006/relationships/image" Target="media/image111.png"/><Relationship Id="rId110" Type="http://schemas.openxmlformats.org/officeDocument/2006/relationships/image" Target="media/image110.png"/><Relationship Id="rId11" Type="http://schemas.openxmlformats.org/officeDocument/2006/relationships/image" Target="media/image11.png"/><Relationship Id="rId109" Type="http://schemas.openxmlformats.org/officeDocument/2006/relationships/image" Target="media/image109.png"/><Relationship Id="rId108" Type="http://schemas.openxmlformats.org/officeDocument/2006/relationships/image" Target="media/image108.png"/><Relationship Id="rId107" Type="http://schemas.openxmlformats.org/officeDocument/2006/relationships/image" Target="media/image107.png"/><Relationship Id="rId106" Type="http://schemas.openxmlformats.org/officeDocument/2006/relationships/image" Target="media/image106.png"/><Relationship Id="rId105" Type="http://schemas.openxmlformats.org/officeDocument/2006/relationships/image" Target="media/image105.png"/><Relationship Id="rId104" Type="http://schemas.openxmlformats.org/officeDocument/2006/relationships/image" Target="media/image104.png"/><Relationship Id="rId103" Type="http://schemas.openxmlformats.org/officeDocument/2006/relationships/image" Target="media/image103.png"/><Relationship Id="rId102" Type="http://schemas.openxmlformats.org/officeDocument/2006/relationships/image" Target="media/image102.png"/><Relationship Id="rId101" Type="http://schemas.openxmlformats.org/officeDocument/2006/relationships/image" Target="media/image101.png"/><Relationship Id="rId100" Type="http://schemas.openxmlformats.org/officeDocument/2006/relationships/image" Target="media/image100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theme" Target="theme/theme1.xml"/><Relationship Id="rId4" Type="http://schemas.openxmlformats.org/officeDocument/2006/relationships/customXml" Target="../customXml/item2.xml"/><Relationship Id="rId3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jpe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jpe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jpe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jpe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3" Type="http://schemas.openxmlformats.org/officeDocument/2006/relationships/image" Target="../media/image553.png"/><Relationship Id="rId552" Type="http://schemas.openxmlformats.org/officeDocument/2006/relationships/image" Target="../media/image552.png"/><Relationship Id="rId551" Type="http://schemas.openxmlformats.org/officeDocument/2006/relationships/image" Target="../media/image551.png"/><Relationship Id="rId550" Type="http://schemas.openxmlformats.org/officeDocument/2006/relationships/image" Target="../media/image550.png"/><Relationship Id="rId55" Type="http://schemas.openxmlformats.org/officeDocument/2006/relationships/image" Target="../media/image55.jpeg"/><Relationship Id="rId549" Type="http://schemas.openxmlformats.org/officeDocument/2006/relationships/image" Target="../media/image549.png"/><Relationship Id="rId548" Type="http://schemas.openxmlformats.org/officeDocument/2006/relationships/image" Target="../media/image548.png"/><Relationship Id="rId547" Type="http://schemas.openxmlformats.org/officeDocument/2006/relationships/image" Target="../media/image547.png"/><Relationship Id="rId546" Type="http://schemas.openxmlformats.org/officeDocument/2006/relationships/image" Target="../media/image546.png"/><Relationship Id="rId545" Type="http://schemas.openxmlformats.org/officeDocument/2006/relationships/image" Target="../media/image545.png"/><Relationship Id="rId544" Type="http://schemas.openxmlformats.org/officeDocument/2006/relationships/image" Target="../media/image544.png"/><Relationship Id="rId543" Type="http://schemas.openxmlformats.org/officeDocument/2006/relationships/image" Target="../media/image543.png"/><Relationship Id="rId542" Type="http://schemas.openxmlformats.org/officeDocument/2006/relationships/image" Target="../media/image542.png"/><Relationship Id="rId541" Type="http://schemas.openxmlformats.org/officeDocument/2006/relationships/image" Target="../media/image541.png"/><Relationship Id="rId540" Type="http://schemas.openxmlformats.org/officeDocument/2006/relationships/image" Target="../media/image540.png"/><Relationship Id="rId54" Type="http://schemas.openxmlformats.org/officeDocument/2006/relationships/image" Target="../media/image54.png"/><Relationship Id="rId539" Type="http://schemas.openxmlformats.org/officeDocument/2006/relationships/image" Target="../media/image539.png"/><Relationship Id="rId538" Type="http://schemas.openxmlformats.org/officeDocument/2006/relationships/image" Target="../media/image538.png"/><Relationship Id="rId537" Type="http://schemas.openxmlformats.org/officeDocument/2006/relationships/image" Target="../media/image537.png"/><Relationship Id="rId536" Type="http://schemas.openxmlformats.org/officeDocument/2006/relationships/image" Target="../media/image536.png"/><Relationship Id="rId535" Type="http://schemas.openxmlformats.org/officeDocument/2006/relationships/image" Target="../media/image535.png"/><Relationship Id="rId534" Type="http://schemas.openxmlformats.org/officeDocument/2006/relationships/image" Target="../media/image534.png"/><Relationship Id="rId533" Type="http://schemas.openxmlformats.org/officeDocument/2006/relationships/image" Target="../media/image533.png"/><Relationship Id="rId532" Type="http://schemas.openxmlformats.org/officeDocument/2006/relationships/image" Target="../media/image532.png"/><Relationship Id="rId531" Type="http://schemas.openxmlformats.org/officeDocument/2006/relationships/image" Target="../media/image531.png"/><Relationship Id="rId530" Type="http://schemas.openxmlformats.org/officeDocument/2006/relationships/image" Target="../media/image530.png"/><Relationship Id="rId53" Type="http://schemas.openxmlformats.org/officeDocument/2006/relationships/image" Target="../media/image53.png"/><Relationship Id="rId529" Type="http://schemas.openxmlformats.org/officeDocument/2006/relationships/image" Target="../media/image529.png"/><Relationship Id="rId528" Type="http://schemas.openxmlformats.org/officeDocument/2006/relationships/image" Target="../media/image528.png"/><Relationship Id="rId527" Type="http://schemas.openxmlformats.org/officeDocument/2006/relationships/image" Target="../media/image527.png"/><Relationship Id="rId526" Type="http://schemas.openxmlformats.org/officeDocument/2006/relationships/image" Target="../media/image526.png"/><Relationship Id="rId525" Type="http://schemas.openxmlformats.org/officeDocument/2006/relationships/image" Target="../media/image525.png"/><Relationship Id="rId524" Type="http://schemas.openxmlformats.org/officeDocument/2006/relationships/image" Target="../media/image524.png"/><Relationship Id="rId523" Type="http://schemas.openxmlformats.org/officeDocument/2006/relationships/image" Target="../media/image523.png"/><Relationship Id="rId522" Type="http://schemas.openxmlformats.org/officeDocument/2006/relationships/image" Target="../media/image522.png"/><Relationship Id="rId521" Type="http://schemas.openxmlformats.org/officeDocument/2006/relationships/image" Target="../media/image521.png"/><Relationship Id="rId520" Type="http://schemas.openxmlformats.org/officeDocument/2006/relationships/image" Target="../media/image520.png"/><Relationship Id="rId52" Type="http://schemas.openxmlformats.org/officeDocument/2006/relationships/image" Target="../media/image52.png"/><Relationship Id="rId519" Type="http://schemas.openxmlformats.org/officeDocument/2006/relationships/image" Target="../media/image519.GIF"/><Relationship Id="rId518" Type="http://schemas.openxmlformats.org/officeDocument/2006/relationships/image" Target="../media/image518.GIF"/><Relationship Id="rId517" Type="http://schemas.openxmlformats.org/officeDocument/2006/relationships/image" Target="../media/image517.GIF"/><Relationship Id="rId516" Type="http://schemas.openxmlformats.org/officeDocument/2006/relationships/image" Target="../media/image516.png"/><Relationship Id="rId515" Type="http://schemas.openxmlformats.org/officeDocument/2006/relationships/image" Target="../media/image515.GIF"/><Relationship Id="rId514" Type="http://schemas.openxmlformats.org/officeDocument/2006/relationships/image" Target="../media/image514.GIF"/><Relationship Id="rId513" Type="http://schemas.openxmlformats.org/officeDocument/2006/relationships/image" Target="../media/image513.GIF"/><Relationship Id="rId512" Type="http://schemas.openxmlformats.org/officeDocument/2006/relationships/image" Target="../media/image512.GIF"/><Relationship Id="rId511" Type="http://schemas.openxmlformats.org/officeDocument/2006/relationships/image" Target="../media/image511.GIF"/><Relationship Id="rId510" Type="http://schemas.openxmlformats.org/officeDocument/2006/relationships/image" Target="../media/image510.GIF"/><Relationship Id="rId51" Type="http://schemas.openxmlformats.org/officeDocument/2006/relationships/image" Target="../media/image51.png"/><Relationship Id="rId509" Type="http://schemas.openxmlformats.org/officeDocument/2006/relationships/image" Target="../media/image509.GIF"/><Relationship Id="rId508" Type="http://schemas.openxmlformats.org/officeDocument/2006/relationships/image" Target="../media/image508.GIF"/><Relationship Id="rId507" Type="http://schemas.openxmlformats.org/officeDocument/2006/relationships/image" Target="../media/image507.GIF"/><Relationship Id="rId506" Type="http://schemas.openxmlformats.org/officeDocument/2006/relationships/image" Target="../media/image506.GIF"/><Relationship Id="rId505" Type="http://schemas.openxmlformats.org/officeDocument/2006/relationships/image" Target="../media/image505.GIF"/><Relationship Id="rId504" Type="http://schemas.openxmlformats.org/officeDocument/2006/relationships/image" Target="../media/image504.png"/><Relationship Id="rId503" Type="http://schemas.openxmlformats.org/officeDocument/2006/relationships/image" Target="../media/image503.png"/><Relationship Id="rId502" Type="http://schemas.openxmlformats.org/officeDocument/2006/relationships/image" Target="../media/image502.png"/><Relationship Id="rId501" Type="http://schemas.openxmlformats.org/officeDocument/2006/relationships/image" Target="../media/image501.png"/><Relationship Id="rId500" Type="http://schemas.openxmlformats.org/officeDocument/2006/relationships/image" Target="../media/image500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9" Type="http://schemas.openxmlformats.org/officeDocument/2006/relationships/image" Target="../media/image499.GIF"/><Relationship Id="rId498" Type="http://schemas.openxmlformats.org/officeDocument/2006/relationships/image" Target="../media/image498.png"/><Relationship Id="rId497" Type="http://schemas.openxmlformats.org/officeDocument/2006/relationships/image" Target="../media/image497.png"/><Relationship Id="rId496" Type="http://schemas.openxmlformats.org/officeDocument/2006/relationships/image" Target="../media/image496.png"/><Relationship Id="rId495" Type="http://schemas.openxmlformats.org/officeDocument/2006/relationships/image" Target="../media/image495.png"/><Relationship Id="rId494" Type="http://schemas.openxmlformats.org/officeDocument/2006/relationships/image" Target="../media/image494.GIF"/><Relationship Id="rId493" Type="http://schemas.openxmlformats.org/officeDocument/2006/relationships/image" Target="../media/image493.png"/><Relationship Id="rId492" Type="http://schemas.openxmlformats.org/officeDocument/2006/relationships/image" Target="../media/image492.png"/><Relationship Id="rId491" Type="http://schemas.openxmlformats.org/officeDocument/2006/relationships/image" Target="../media/image491.png"/><Relationship Id="rId490" Type="http://schemas.openxmlformats.org/officeDocument/2006/relationships/image" Target="../media/image490.GIF"/><Relationship Id="rId49" Type="http://schemas.openxmlformats.org/officeDocument/2006/relationships/image" Target="../media/image49.png"/><Relationship Id="rId489" Type="http://schemas.openxmlformats.org/officeDocument/2006/relationships/image" Target="../media/image489.png"/><Relationship Id="rId488" Type="http://schemas.openxmlformats.org/officeDocument/2006/relationships/image" Target="../media/image488.jpeg"/><Relationship Id="rId487" Type="http://schemas.openxmlformats.org/officeDocument/2006/relationships/image" Target="../media/image487.GIF"/><Relationship Id="rId486" Type="http://schemas.openxmlformats.org/officeDocument/2006/relationships/image" Target="../media/image486.GIF"/><Relationship Id="rId485" Type="http://schemas.openxmlformats.org/officeDocument/2006/relationships/image" Target="../media/image485.GIF"/><Relationship Id="rId484" Type="http://schemas.openxmlformats.org/officeDocument/2006/relationships/image" Target="../media/image484.GIF"/><Relationship Id="rId483" Type="http://schemas.openxmlformats.org/officeDocument/2006/relationships/image" Target="../media/image483.GIF"/><Relationship Id="rId482" Type="http://schemas.openxmlformats.org/officeDocument/2006/relationships/image" Target="../media/image482.GIF"/><Relationship Id="rId481" Type="http://schemas.openxmlformats.org/officeDocument/2006/relationships/image" Target="../media/image481.GIF"/><Relationship Id="rId480" Type="http://schemas.openxmlformats.org/officeDocument/2006/relationships/image" Target="../media/image480.GIF"/><Relationship Id="rId48" Type="http://schemas.openxmlformats.org/officeDocument/2006/relationships/image" Target="../media/image48.png"/><Relationship Id="rId479" Type="http://schemas.openxmlformats.org/officeDocument/2006/relationships/image" Target="../media/image479.GIF"/><Relationship Id="rId478" Type="http://schemas.openxmlformats.org/officeDocument/2006/relationships/image" Target="../media/image478.GIF"/><Relationship Id="rId477" Type="http://schemas.openxmlformats.org/officeDocument/2006/relationships/image" Target="../media/image477.GIF"/><Relationship Id="rId476" Type="http://schemas.openxmlformats.org/officeDocument/2006/relationships/image" Target="../media/image476.GIF"/><Relationship Id="rId475" Type="http://schemas.openxmlformats.org/officeDocument/2006/relationships/image" Target="../media/image475.GIF"/><Relationship Id="rId474" Type="http://schemas.openxmlformats.org/officeDocument/2006/relationships/image" Target="../media/image474.GIF"/><Relationship Id="rId473" Type="http://schemas.openxmlformats.org/officeDocument/2006/relationships/image" Target="../media/image473.png"/><Relationship Id="rId472" Type="http://schemas.openxmlformats.org/officeDocument/2006/relationships/image" Target="../media/image472.png"/><Relationship Id="rId471" Type="http://schemas.openxmlformats.org/officeDocument/2006/relationships/image" Target="../media/image471.png"/><Relationship Id="rId470" Type="http://schemas.openxmlformats.org/officeDocument/2006/relationships/image" Target="../media/image470.jpeg"/><Relationship Id="rId47" Type="http://schemas.openxmlformats.org/officeDocument/2006/relationships/image" Target="../media/image47.png"/><Relationship Id="rId469" Type="http://schemas.openxmlformats.org/officeDocument/2006/relationships/image" Target="../media/image469.jpeg"/><Relationship Id="rId468" Type="http://schemas.openxmlformats.org/officeDocument/2006/relationships/image" Target="../media/image468.png"/><Relationship Id="rId467" Type="http://schemas.openxmlformats.org/officeDocument/2006/relationships/image" Target="../media/image467.png"/><Relationship Id="rId466" Type="http://schemas.openxmlformats.org/officeDocument/2006/relationships/image" Target="../media/image466.png"/><Relationship Id="rId465" Type="http://schemas.openxmlformats.org/officeDocument/2006/relationships/image" Target="../media/image465.png"/><Relationship Id="rId464" Type="http://schemas.openxmlformats.org/officeDocument/2006/relationships/image" Target="../media/image464.png"/><Relationship Id="rId463" Type="http://schemas.openxmlformats.org/officeDocument/2006/relationships/image" Target="../media/image463.png"/><Relationship Id="rId462" Type="http://schemas.openxmlformats.org/officeDocument/2006/relationships/image" Target="../media/image462.jpeg"/><Relationship Id="rId461" Type="http://schemas.openxmlformats.org/officeDocument/2006/relationships/image" Target="../media/image461.png"/><Relationship Id="rId460" Type="http://schemas.openxmlformats.org/officeDocument/2006/relationships/image" Target="../media/image460.png"/><Relationship Id="rId46" Type="http://schemas.openxmlformats.org/officeDocument/2006/relationships/image" Target="../media/image46.png"/><Relationship Id="rId459" Type="http://schemas.openxmlformats.org/officeDocument/2006/relationships/image" Target="../media/image459.png"/><Relationship Id="rId458" Type="http://schemas.openxmlformats.org/officeDocument/2006/relationships/image" Target="../media/image458.png"/><Relationship Id="rId457" Type="http://schemas.openxmlformats.org/officeDocument/2006/relationships/image" Target="../media/image457.png"/><Relationship Id="rId456" Type="http://schemas.openxmlformats.org/officeDocument/2006/relationships/image" Target="../media/image456.png"/><Relationship Id="rId455" Type="http://schemas.openxmlformats.org/officeDocument/2006/relationships/image" Target="../media/image455.png"/><Relationship Id="rId454" Type="http://schemas.openxmlformats.org/officeDocument/2006/relationships/image" Target="../media/image454.png"/><Relationship Id="rId453" Type="http://schemas.openxmlformats.org/officeDocument/2006/relationships/image" Target="../media/image453.png"/><Relationship Id="rId452" Type="http://schemas.openxmlformats.org/officeDocument/2006/relationships/image" Target="../media/image452.png"/><Relationship Id="rId451" Type="http://schemas.openxmlformats.org/officeDocument/2006/relationships/image" Target="../media/image451.png"/><Relationship Id="rId450" Type="http://schemas.openxmlformats.org/officeDocument/2006/relationships/image" Target="../media/image450.png"/><Relationship Id="rId45" Type="http://schemas.openxmlformats.org/officeDocument/2006/relationships/image" Target="../media/image45.jpeg"/><Relationship Id="rId449" Type="http://schemas.openxmlformats.org/officeDocument/2006/relationships/image" Target="../media/image449.png"/><Relationship Id="rId448" Type="http://schemas.openxmlformats.org/officeDocument/2006/relationships/image" Target="../media/image448.png"/><Relationship Id="rId447" Type="http://schemas.openxmlformats.org/officeDocument/2006/relationships/image" Target="../media/image447.png"/><Relationship Id="rId446" Type="http://schemas.openxmlformats.org/officeDocument/2006/relationships/image" Target="../media/image446.png"/><Relationship Id="rId445" Type="http://schemas.openxmlformats.org/officeDocument/2006/relationships/image" Target="../media/image445.png"/><Relationship Id="rId444" Type="http://schemas.openxmlformats.org/officeDocument/2006/relationships/image" Target="../media/image444.png"/><Relationship Id="rId443" Type="http://schemas.openxmlformats.org/officeDocument/2006/relationships/image" Target="../media/image443.png"/><Relationship Id="rId442" Type="http://schemas.openxmlformats.org/officeDocument/2006/relationships/image" Target="../media/image442.png"/><Relationship Id="rId441" Type="http://schemas.openxmlformats.org/officeDocument/2006/relationships/image" Target="../media/image441.png"/><Relationship Id="rId440" Type="http://schemas.openxmlformats.org/officeDocument/2006/relationships/image" Target="../media/image440.png"/><Relationship Id="rId44" Type="http://schemas.openxmlformats.org/officeDocument/2006/relationships/image" Target="../media/image44.png"/><Relationship Id="rId439" Type="http://schemas.openxmlformats.org/officeDocument/2006/relationships/image" Target="../media/image439.png"/><Relationship Id="rId438" Type="http://schemas.openxmlformats.org/officeDocument/2006/relationships/image" Target="../media/image438.png"/><Relationship Id="rId437" Type="http://schemas.openxmlformats.org/officeDocument/2006/relationships/image" Target="../media/image437.png"/><Relationship Id="rId436" Type="http://schemas.openxmlformats.org/officeDocument/2006/relationships/image" Target="../media/image436.png"/><Relationship Id="rId435" Type="http://schemas.openxmlformats.org/officeDocument/2006/relationships/image" Target="../media/image435.png"/><Relationship Id="rId434" Type="http://schemas.openxmlformats.org/officeDocument/2006/relationships/image" Target="../media/image434.png"/><Relationship Id="rId433" Type="http://schemas.openxmlformats.org/officeDocument/2006/relationships/image" Target="../media/image433.png"/><Relationship Id="rId432" Type="http://schemas.openxmlformats.org/officeDocument/2006/relationships/image" Target="../media/image432.png"/><Relationship Id="rId431" Type="http://schemas.openxmlformats.org/officeDocument/2006/relationships/image" Target="../media/image431.png"/><Relationship Id="rId430" Type="http://schemas.openxmlformats.org/officeDocument/2006/relationships/image" Target="../media/image430.png"/><Relationship Id="rId43" Type="http://schemas.openxmlformats.org/officeDocument/2006/relationships/image" Target="../media/image43.png"/><Relationship Id="rId429" Type="http://schemas.openxmlformats.org/officeDocument/2006/relationships/image" Target="../media/image429.png"/><Relationship Id="rId428" Type="http://schemas.openxmlformats.org/officeDocument/2006/relationships/image" Target="../media/image428.png"/><Relationship Id="rId427" Type="http://schemas.openxmlformats.org/officeDocument/2006/relationships/image" Target="../media/image427.png"/><Relationship Id="rId426" Type="http://schemas.openxmlformats.org/officeDocument/2006/relationships/image" Target="../media/image426.png"/><Relationship Id="rId425" Type="http://schemas.openxmlformats.org/officeDocument/2006/relationships/image" Target="../media/image425.png"/><Relationship Id="rId424" Type="http://schemas.openxmlformats.org/officeDocument/2006/relationships/image" Target="../media/image424.png"/><Relationship Id="rId423" Type="http://schemas.openxmlformats.org/officeDocument/2006/relationships/image" Target="../media/image423.png"/><Relationship Id="rId422" Type="http://schemas.openxmlformats.org/officeDocument/2006/relationships/image" Target="../media/image422.png"/><Relationship Id="rId421" Type="http://schemas.openxmlformats.org/officeDocument/2006/relationships/image" Target="../media/image421.png"/><Relationship Id="rId420" Type="http://schemas.openxmlformats.org/officeDocument/2006/relationships/image" Target="../media/image420.png"/><Relationship Id="rId42" Type="http://schemas.openxmlformats.org/officeDocument/2006/relationships/image" Target="../media/image42.png"/><Relationship Id="rId419" Type="http://schemas.openxmlformats.org/officeDocument/2006/relationships/image" Target="../media/image419.png"/><Relationship Id="rId418" Type="http://schemas.openxmlformats.org/officeDocument/2006/relationships/image" Target="../media/image418.png"/><Relationship Id="rId417" Type="http://schemas.openxmlformats.org/officeDocument/2006/relationships/image" Target="../media/image417.png"/><Relationship Id="rId416" Type="http://schemas.openxmlformats.org/officeDocument/2006/relationships/image" Target="../media/image416.png"/><Relationship Id="rId415" Type="http://schemas.openxmlformats.org/officeDocument/2006/relationships/image" Target="../media/image415.png"/><Relationship Id="rId414" Type="http://schemas.openxmlformats.org/officeDocument/2006/relationships/image" Target="../media/image414.png"/><Relationship Id="rId413" Type="http://schemas.openxmlformats.org/officeDocument/2006/relationships/image" Target="../media/image413.png"/><Relationship Id="rId412" Type="http://schemas.openxmlformats.org/officeDocument/2006/relationships/image" Target="../media/image412.png"/><Relationship Id="rId411" Type="http://schemas.openxmlformats.org/officeDocument/2006/relationships/image" Target="../media/image411.png"/><Relationship Id="rId410" Type="http://schemas.openxmlformats.org/officeDocument/2006/relationships/image" Target="../media/image410.png"/><Relationship Id="rId41" Type="http://schemas.openxmlformats.org/officeDocument/2006/relationships/image" Target="../media/image41.png"/><Relationship Id="rId409" Type="http://schemas.openxmlformats.org/officeDocument/2006/relationships/image" Target="../media/image409.png"/><Relationship Id="rId408" Type="http://schemas.openxmlformats.org/officeDocument/2006/relationships/image" Target="../media/image408.png"/><Relationship Id="rId407" Type="http://schemas.openxmlformats.org/officeDocument/2006/relationships/image" Target="../media/image407.png"/><Relationship Id="rId406" Type="http://schemas.openxmlformats.org/officeDocument/2006/relationships/image" Target="../media/image406.png"/><Relationship Id="rId405" Type="http://schemas.openxmlformats.org/officeDocument/2006/relationships/image" Target="../media/image405.png"/><Relationship Id="rId404" Type="http://schemas.openxmlformats.org/officeDocument/2006/relationships/image" Target="../media/image404.png"/><Relationship Id="rId403" Type="http://schemas.openxmlformats.org/officeDocument/2006/relationships/image" Target="../media/image403.png"/><Relationship Id="rId402" Type="http://schemas.openxmlformats.org/officeDocument/2006/relationships/image" Target="../media/image402.png"/><Relationship Id="rId401" Type="http://schemas.openxmlformats.org/officeDocument/2006/relationships/image" Target="../media/image401.png"/><Relationship Id="rId400" Type="http://schemas.openxmlformats.org/officeDocument/2006/relationships/image" Target="../media/image400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9" Type="http://schemas.openxmlformats.org/officeDocument/2006/relationships/image" Target="../media/image399.png"/><Relationship Id="rId398" Type="http://schemas.openxmlformats.org/officeDocument/2006/relationships/image" Target="../media/image398.png"/><Relationship Id="rId397" Type="http://schemas.openxmlformats.org/officeDocument/2006/relationships/image" Target="../media/image397.png"/><Relationship Id="rId396" Type="http://schemas.openxmlformats.org/officeDocument/2006/relationships/image" Target="../media/image396.png"/><Relationship Id="rId395" Type="http://schemas.openxmlformats.org/officeDocument/2006/relationships/image" Target="../media/image395.png"/><Relationship Id="rId394" Type="http://schemas.openxmlformats.org/officeDocument/2006/relationships/image" Target="../media/image394.png"/><Relationship Id="rId393" Type="http://schemas.openxmlformats.org/officeDocument/2006/relationships/image" Target="../media/image393.jpeg"/><Relationship Id="rId392" Type="http://schemas.openxmlformats.org/officeDocument/2006/relationships/image" Target="../media/image392.png"/><Relationship Id="rId391" Type="http://schemas.openxmlformats.org/officeDocument/2006/relationships/image" Target="../media/image391.png"/><Relationship Id="rId390" Type="http://schemas.openxmlformats.org/officeDocument/2006/relationships/image" Target="../media/image390.png"/><Relationship Id="rId39" Type="http://schemas.openxmlformats.org/officeDocument/2006/relationships/image" Target="../media/image39.png"/><Relationship Id="rId389" Type="http://schemas.openxmlformats.org/officeDocument/2006/relationships/image" Target="../media/image389.png"/><Relationship Id="rId388" Type="http://schemas.openxmlformats.org/officeDocument/2006/relationships/image" Target="../media/image388.png"/><Relationship Id="rId387" Type="http://schemas.openxmlformats.org/officeDocument/2006/relationships/image" Target="../media/image387.png"/><Relationship Id="rId386" Type="http://schemas.openxmlformats.org/officeDocument/2006/relationships/image" Target="../media/image386.png"/><Relationship Id="rId385" Type="http://schemas.openxmlformats.org/officeDocument/2006/relationships/image" Target="../media/image385.png"/><Relationship Id="rId384" Type="http://schemas.openxmlformats.org/officeDocument/2006/relationships/image" Target="../media/image384.png"/><Relationship Id="rId383" Type="http://schemas.openxmlformats.org/officeDocument/2006/relationships/image" Target="../media/image383.png"/><Relationship Id="rId382" Type="http://schemas.openxmlformats.org/officeDocument/2006/relationships/image" Target="../media/image382.png"/><Relationship Id="rId381" Type="http://schemas.openxmlformats.org/officeDocument/2006/relationships/image" Target="../media/image381.png"/><Relationship Id="rId380" Type="http://schemas.openxmlformats.org/officeDocument/2006/relationships/image" Target="../media/image380.png"/><Relationship Id="rId38" Type="http://schemas.openxmlformats.org/officeDocument/2006/relationships/image" Target="../media/image38.png"/><Relationship Id="rId379" Type="http://schemas.openxmlformats.org/officeDocument/2006/relationships/image" Target="../media/image379.png"/><Relationship Id="rId378" Type="http://schemas.openxmlformats.org/officeDocument/2006/relationships/image" Target="../media/image378.jpeg"/><Relationship Id="rId377" Type="http://schemas.openxmlformats.org/officeDocument/2006/relationships/image" Target="../media/image377.png"/><Relationship Id="rId376" Type="http://schemas.openxmlformats.org/officeDocument/2006/relationships/image" Target="../media/image376.png"/><Relationship Id="rId375" Type="http://schemas.openxmlformats.org/officeDocument/2006/relationships/image" Target="../media/image375.png"/><Relationship Id="rId374" Type="http://schemas.openxmlformats.org/officeDocument/2006/relationships/image" Target="../media/image374.png"/><Relationship Id="rId373" Type="http://schemas.openxmlformats.org/officeDocument/2006/relationships/image" Target="../media/image373.png"/><Relationship Id="rId372" Type="http://schemas.openxmlformats.org/officeDocument/2006/relationships/image" Target="../media/image372.jpeg"/><Relationship Id="rId371" Type="http://schemas.openxmlformats.org/officeDocument/2006/relationships/image" Target="../media/image371.png"/><Relationship Id="rId370" Type="http://schemas.openxmlformats.org/officeDocument/2006/relationships/image" Target="../media/image370.png"/><Relationship Id="rId37" Type="http://schemas.openxmlformats.org/officeDocument/2006/relationships/image" Target="../media/image37.png"/><Relationship Id="rId369" Type="http://schemas.openxmlformats.org/officeDocument/2006/relationships/image" Target="../media/image369.png"/><Relationship Id="rId368" Type="http://schemas.openxmlformats.org/officeDocument/2006/relationships/image" Target="../media/image368.png"/><Relationship Id="rId367" Type="http://schemas.openxmlformats.org/officeDocument/2006/relationships/image" Target="../media/image367.png"/><Relationship Id="rId366" Type="http://schemas.openxmlformats.org/officeDocument/2006/relationships/image" Target="../media/image366.png"/><Relationship Id="rId365" Type="http://schemas.openxmlformats.org/officeDocument/2006/relationships/image" Target="../media/image365.png"/><Relationship Id="rId364" Type="http://schemas.openxmlformats.org/officeDocument/2006/relationships/image" Target="../media/image364.png"/><Relationship Id="rId363" Type="http://schemas.openxmlformats.org/officeDocument/2006/relationships/image" Target="../media/image363.jpeg"/><Relationship Id="rId362" Type="http://schemas.openxmlformats.org/officeDocument/2006/relationships/image" Target="../media/image362.png"/><Relationship Id="rId361" Type="http://schemas.openxmlformats.org/officeDocument/2006/relationships/image" Target="../media/image361.png"/><Relationship Id="rId360" Type="http://schemas.openxmlformats.org/officeDocument/2006/relationships/image" Target="../media/image360.png"/><Relationship Id="rId36" Type="http://schemas.openxmlformats.org/officeDocument/2006/relationships/image" Target="../media/image36.png"/><Relationship Id="rId359" Type="http://schemas.openxmlformats.org/officeDocument/2006/relationships/image" Target="../media/image359.png"/><Relationship Id="rId358" Type="http://schemas.openxmlformats.org/officeDocument/2006/relationships/image" Target="../media/image358.png"/><Relationship Id="rId357" Type="http://schemas.openxmlformats.org/officeDocument/2006/relationships/image" Target="../media/image357.png"/><Relationship Id="rId356" Type="http://schemas.openxmlformats.org/officeDocument/2006/relationships/image" Target="../media/image356.png"/><Relationship Id="rId355" Type="http://schemas.openxmlformats.org/officeDocument/2006/relationships/image" Target="../media/image355.png"/><Relationship Id="rId354" Type="http://schemas.openxmlformats.org/officeDocument/2006/relationships/image" Target="../media/image354.png"/><Relationship Id="rId353" Type="http://schemas.openxmlformats.org/officeDocument/2006/relationships/image" Target="../media/image353.png"/><Relationship Id="rId352" Type="http://schemas.openxmlformats.org/officeDocument/2006/relationships/image" Target="../media/image352.png"/><Relationship Id="rId351" Type="http://schemas.openxmlformats.org/officeDocument/2006/relationships/image" Target="../media/image351.png"/><Relationship Id="rId350" Type="http://schemas.openxmlformats.org/officeDocument/2006/relationships/image" Target="../media/image350.png"/><Relationship Id="rId35" Type="http://schemas.openxmlformats.org/officeDocument/2006/relationships/image" Target="../media/image35.png"/><Relationship Id="rId349" Type="http://schemas.openxmlformats.org/officeDocument/2006/relationships/image" Target="../media/image349.png"/><Relationship Id="rId348" Type="http://schemas.openxmlformats.org/officeDocument/2006/relationships/image" Target="../media/image348.png"/><Relationship Id="rId347" Type="http://schemas.openxmlformats.org/officeDocument/2006/relationships/image" Target="../media/image347.png"/><Relationship Id="rId346" Type="http://schemas.openxmlformats.org/officeDocument/2006/relationships/image" Target="../media/image346.jpeg"/><Relationship Id="rId345" Type="http://schemas.openxmlformats.org/officeDocument/2006/relationships/image" Target="../media/image345.png"/><Relationship Id="rId344" Type="http://schemas.openxmlformats.org/officeDocument/2006/relationships/image" Target="../media/image344.png"/><Relationship Id="rId343" Type="http://schemas.openxmlformats.org/officeDocument/2006/relationships/image" Target="../media/image343.png"/><Relationship Id="rId342" Type="http://schemas.openxmlformats.org/officeDocument/2006/relationships/image" Target="../media/image342.png"/><Relationship Id="rId341" Type="http://schemas.openxmlformats.org/officeDocument/2006/relationships/image" Target="../media/image341.png"/><Relationship Id="rId340" Type="http://schemas.openxmlformats.org/officeDocument/2006/relationships/image" Target="../media/image340.png"/><Relationship Id="rId34" Type="http://schemas.openxmlformats.org/officeDocument/2006/relationships/image" Target="../media/image34.png"/><Relationship Id="rId339" Type="http://schemas.openxmlformats.org/officeDocument/2006/relationships/image" Target="../media/image339.jpeg"/><Relationship Id="rId338" Type="http://schemas.openxmlformats.org/officeDocument/2006/relationships/image" Target="../media/image338.png"/><Relationship Id="rId337" Type="http://schemas.openxmlformats.org/officeDocument/2006/relationships/image" Target="../media/image337.png"/><Relationship Id="rId336" Type="http://schemas.openxmlformats.org/officeDocument/2006/relationships/image" Target="../media/image336.png"/><Relationship Id="rId335" Type="http://schemas.openxmlformats.org/officeDocument/2006/relationships/image" Target="../media/image335.png"/><Relationship Id="rId334" Type="http://schemas.openxmlformats.org/officeDocument/2006/relationships/image" Target="../media/image334.png"/><Relationship Id="rId333" Type="http://schemas.openxmlformats.org/officeDocument/2006/relationships/image" Target="../media/image333.png"/><Relationship Id="rId332" Type="http://schemas.openxmlformats.org/officeDocument/2006/relationships/image" Target="../media/image332.png"/><Relationship Id="rId331" Type="http://schemas.openxmlformats.org/officeDocument/2006/relationships/image" Target="../media/image331.jpeg"/><Relationship Id="rId330" Type="http://schemas.openxmlformats.org/officeDocument/2006/relationships/image" Target="../media/image330.png"/><Relationship Id="rId33" Type="http://schemas.openxmlformats.org/officeDocument/2006/relationships/image" Target="../media/image33.png"/><Relationship Id="rId329" Type="http://schemas.openxmlformats.org/officeDocument/2006/relationships/image" Target="../media/image329.png"/><Relationship Id="rId328" Type="http://schemas.openxmlformats.org/officeDocument/2006/relationships/image" Target="../media/image328.png"/><Relationship Id="rId327" Type="http://schemas.openxmlformats.org/officeDocument/2006/relationships/image" Target="../media/image327.png"/><Relationship Id="rId326" Type="http://schemas.openxmlformats.org/officeDocument/2006/relationships/image" Target="../media/image326.png"/><Relationship Id="rId325" Type="http://schemas.openxmlformats.org/officeDocument/2006/relationships/image" Target="../media/image325.png"/><Relationship Id="rId324" Type="http://schemas.openxmlformats.org/officeDocument/2006/relationships/image" Target="../media/image324.png"/><Relationship Id="rId323" Type="http://schemas.openxmlformats.org/officeDocument/2006/relationships/image" Target="../media/image323.png"/><Relationship Id="rId322" Type="http://schemas.openxmlformats.org/officeDocument/2006/relationships/image" Target="../media/image322.png"/><Relationship Id="rId321" Type="http://schemas.openxmlformats.org/officeDocument/2006/relationships/image" Target="../media/image321.png"/><Relationship Id="rId320" Type="http://schemas.openxmlformats.org/officeDocument/2006/relationships/image" Target="../media/image320.png"/><Relationship Id="rId32" Type="http://schemas.openxmlformats.org/officeDocument/2006/relationships/image" Target="../media/image32.png"/><Relationship Id="rId319" Type="http://schemas.openxmlformats.org/officeDocument/2006/relationships/image" Target="../media/image319.png"/><Relationship Id="rId318" Type="http://schemas.openxmlformats.org/officeDocument/2006/relationships/image" Target="../media/image318.png"/><Relationship Id="rId317" Type="http://schemas.openxmlformats.org/officeDocument/2006/relationships/image" Target="../media/image317.jpeg"/><Relationship Id="rId316" Type="http://schemas.openxmlformats.org/officeDocument/2006/relationships/image" Target="../media/image316.png"/><Relationship Id="rId315" Type="http://schemas.openxmlformats.org/officeDocument/2006/relationships/image" Target="../media/image315.png"/><Relationship Id="rId314" Type="http://schemas.openxmlformats.org/officeDocument/2006/relationships/image" Target="../media/image314.png"/><Relationship Id="rId313" Type="http://schemas.openxmlformats.org/officeDocument/2006/relationships/image" Target="../media/image313.png"/><Relationship Id="rId312" Type="http://schemas.openxmlformats.org/officeDocument/2006/relationships/image" Target="../media/image312.png"/><Relationship Id="rId311" Type="http://schemas.openxmlformats.org/officeDocument/2006/relationships/image" Target="../media/image311.png"/><Relationship Id="rId310" Type="http://schemas.openxmlformats.org/officeDocument/2006/relationships/image" Target="../media/image310.png"/><Relationship Id="rId31" Type="http://schemas.openxmlformats.org/officeDocument/2006/relationships/image" Target="../media/image31.png"/><Relationship Id="rId309" Type="http://schemas.openxmlformats.org/officeDocument/2006/relationships/image" Target="../media/image309.jpeg"/><Relationship Id="rId308" Type="http://schemas.openxmlformats.org/officeDocument/2006/relationships/image" Target="../media/image308.png"/><Relationship Id="rId307" Type="http://schemas.openxmlformats.org/officeDocument/2006/relationships/image" Target="../media/image307.png"/><Relationship Id="rId306" Type="http://schemas.openxmlformats.org/officeDocument/2006/relationships/image" Target="../media/image306.png"/><Relationship Id="rId305" Type="http://schemas.openxmlformats.org/officeDocument/2006/relationships/image" Target="../media/image305.png"/><Relationship Id="rId304" Type="http://schemas.openxmlformats.org/officeDocument/2006/relationships/image" Target="../media/image304.jpeg"/><Relationship Id="rId303" Type="http://schemas.openxmlformats.org/officeDocument/2006/relationships/image" Target="../media/image303.png"/><Relationship Id="rId302" Type="http://schemas.openxmlformats.org/officeDocument/2006/relationships/image" Target="../media/image302.png"/><Relationship Id="rId301" Type="http://schemas.openxmlformats.org/officeDocument/2006/relationships/image" Target="../media/image301.png"/><Relationship Id="rId300" Type="http://schemas.openxmlformats.org/officeDocument/2006/relationships/image" Target="../media/image300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9" Type="http://schemas.openxmlformats.org/officeDocument/2006/relationships/image" Target="../media/image299.png"/><Relationship Id="rId298" Type="http://schemas.openxmlformats.org/officeDocument/2006/relationships/image" Target="../media/image298.png"/><Relationship Id="rId297" Type="http://schemas.openxmlformats.org/officeDocument/2006/relationships/image" Target="../media/image297.png"/><Relationship Id="rId296" Type="http://schemas.openxmlformats.org/officeDocument/2006/relationships/image" Target="../media/image296.png"/><Relationship Id="rId295" Type="http://schemas.openxmlformats.org/officeDocument/2006/relationships/image" Target="../media/image295.png"/><Relationship Id="rId294" Type="http://schemas.openxmlformats.org/officeDocument/2006/relationships/image" Target="../media/image294.png"/><Relationship Id="rId293" Type="http://schemas.openxmlformats.org/officeDocument/2006/relationships/image" Target="../media/image293.png"/><Relationship Id="rId292" Type="http://schemas.openxmlformats.org/officeDocument/2006/relationships/image" Target="../media/image292.png"/><Relationship Id="rId291" Type="http://schemas.openxmlformats.org/officeDocument/2006/relationships/image" Target="../media/image291.png"/><Relationship Id="rId290" Type="http://schemas.openxmlformats.org/officeDocument/2006/relationships/image" Target="../media/image290.png"/><Relationship Id="rId29" Type="http://schemas.openxmlformats.org/officeDocument/2006/relationships/image" Target="../media/image29.png"/><Relationship Id="rId289" Type="http://schemas.openxmlformats.org/officeDocument/2006/relationships/image" Target="../media/image289.png"/><Relationship Id="rId288" Type="http://schemas.openxmlformats.org/officeDocument/2006/relationships/image" Target="../media/image288.png"/><Relationship Id="rId287" Type="http://schemas.openxmlformats.org/officeDocument/2006/relationships/image" Target="../media/image287.jpeg"/><Relationship Id="rId286" Type="http://schemas.openxmlformats.org/officeDocument/2006/relationships/image" Target="../media/image286.png"/><Relationship Id="rId285" Type="http://schemas.openxmlformats.org/officeDocument/2006/relationships/image" Target="../media/image285.png"/><Relationship Id="rId284" Type="http://schemas.openxmlformats.org/officeDocument/2006/relationships/image" Target="../media/image284.png"/><Relationship Id="rId283" Type="http://schemas.openxmlformats.org/officeDocument/2006/relationships/image" Target="../media/image283.png"/><Relationship Id="rId282" Type="http://schemas.openxmlformats.org/officeDocument/2006/relationships/image" Target="../media/image282.png"/><Relationship Id="rId281" Type="http://schemas.openxmlformats.org/officeDocument/2006/relationships/image" Target="../media/image281.png"/><Relationship Id="rId280" Type="http://schemas.openxmlformats.org/officeDocument/2006/relationships/image" Target="../media/image280.png"/><Relationship Id="rId28" Type="http://schemas.openxmlformats.org/officeDocument/2006/relationships/image" Target="../media/image28.png"/><Relationship Id="rId279" Type="http://schemas.openxmlformats.org/officeDocument/2006/relationships/image" Target="../media/image279.png"/><Relationship Id="rId278" Type="http://schemas.openxmlformats.org/officeDocument/2006/relationships/image" Target="../media/image278.png"/><Relationship Id="rId277" Type="http://schemas.openxmlformats.org/officeDocument/2006/relationships/image" Target="../media/image277.png"/><Relationship Id="rId276" Type="http://schemas.openxmlformats.org/officeDocument/2006/relationships/image" Target="../media/image276.png"/><Relationship Id="rId275" Type="http://schemas.openxmlformats.org/officeDocument/2006/relationships/image" Target="../media/image275.png"/><Relationship Id="rId274" Type="http://schemas.openxmlformats.org/officeDocument/2006/relationships/image" Target="../media/image274.jpeg"/><Relationship Id="rId273" Type="http://schemas.openxmlformats.org/officeDocument/2006/relationships/image" Target="../media/image273.png"/><Relationship Id="rId272" Type="http://schemas.openxmlformats.org/officeDocument/2006/relationships/image" Target="../media/image272.png"/><Relationship Id="rId271" Type="http://schemas.openxmlformats.org/officeDocument/2006/relationships/image" Target="../media/image271.png"/><Relationship Id="rId270" Type="http://schemas.openxmlformats.org/officeDocument/2006/relationships/image" Target="../media/image270.png"/><Relationship Id="rId27" Type="http://schemas.openxmlformats.org/officeDocument/2006/relationships/image" Target="../media/image27.png"/><Relationship Id="rId269" Type="http://schemas.openxmlformats.org/officeDocument/2006/relationships/image" Target="../media/image269.png"/><Relationship Id="rId268" Type="http://schemas.openxmlformats.org/officeDocument/2006/relationships/image" Target="../media/image268.png"/><Relationship Id="rId267" Type="http://schemas.openxmlformats.org/officeDocument/2006/relationships/image" Target="../media/image267.png"/><Relationship Id="rId266" Type="http://schemas.openxmlformats.org/officeDocument/2006/relationships/image" Target="../media/image266.png"/><Relationship Id="rId265" Type="http://schemas.openxmlformats.org/officeDocument/2006/relationships/image" Target="../media/image265.png"/><Relationship Id="rId264" Type="http://schemas.openxmlformats.org/officeDocument/2006/relationships/image" Target="../media/image264.png"/><Relationship Id="rId263" Type="http://schemas.openxmlformats.org/officeDocument/2006/relationships/image" Target="../media/image263.png"/><Relationship Id="rId262" Type="http://schemas.openxmlformats.org/officeDocument/2006/relationships/image" Target="../media/image262.png"/><Relationship Id="rId261" Type="http://schemas.openxmlformats.org/officeDocument/2006/relationships/image" Target="../media/image261.jpeg"/><Relationship Id="rId260" Type="http://schemas.openxmlformats.org/officeDocument/2006/relationships/image" Target="../media/image260.png"/><Relationship Id="rId26" Type="http://schemas.openxmlformats.org/officeDocument/2006/relationships/image" Target="../media/image26.png"/><Relationship Id="rId259" Type="http://schemas.openxmlformats.org/officeDocument/2006/relationships/image" Target="../media/image259.png"/><Relationship Id="rId258" Type="http://schemas.openxmlformats.org/officeDocument/2006/relationships/image" Target="../media/image258.png"/><Relationship Id="rId257" Type="http://schemas.openxmlformats.org/officeDocument/2006/relationships/image" Target="../media/image257.png"/><Relationship Id="rId256" Type="http://schemas.openxmlformats.org/officeDocument/2006/relationships/image" Target="../media/image256.png"/><Relationship Id="rId255" Type="http://schemas.openxmlformats.org/officeDocument/2006/relationships/image" Target="../media/image255.png"/><Relationship Id="rId254" Type="http://schemas.openxmlformats.org/officeDocument/2006/relationships/image" Target="../media/image254.png"/><Relationship Id="rId253" Type="http://schemas.openxmlformats.org/officeDocument/2006/relationships/image" Target="../media/image253.jpeg"/><Relationship Id="rId252" Type="http://schemas.openxmlformats.org/officeDocument/2006/relationships/image" Target="../media/image252.png"/><Relationship Id="rId251" Type="http://schemas.openxmlformats.org/officeDocument/2006/relationships/image" Target="../media/image251.jpeg"/><Relationship Id="rId250" Type="http://schemas.openxmlformats.org/officeDocument/2006/relationships/image" Target="../media/image250.png"/><Relationship Id="rId25" Type="http://schemas.openxmlformats.org/officeDocument/2006/relationships/image" Target="../media/image25.png"/><Relationship Id="rId249" Type="http://schemas.openxmlformats.org/officeDocument/2006/relationships/image" Target="../media/image249.png"/><Relationship Id="rId248" Type="http://schemas.openxmlformats.org/officeDocument/2006/relationships/image" Target="../media/image248.png"/><Relationship Id="rId247" Type="http://schemas.openxmlformats.org/officeDocument/2006/relationships/image" Target="../media/image247.png"/><Relationship Id="rId246" Type="http://schemas.openxmlformats.org/officeDocument/2006/relationships/image" Target="../media/image246.png"/><Relationship Id="rId245" Type="http://schemas.openxmlformats.org/officeDocument/2006/relationships/image" Target="../media/image245.png"/><Relationship Id="rId244" Type="http://schemas.openxmlformats.org/officeDocument/2006/relationships/image" Target="../media/image244.png"/><Relationship Id="rId243" Type="http://schemas.openxmlformats.org/officeDocument/2006/relationships/image" Target="../media/image243.png"/><Relationship Id="rId242" Type="http://schemas.openxmlformats.org/officeDocument/2006/relationships/image" Target="../media/image242.png"/><Relationship Id="rId241" Type="http://schemas.openxmlformats.org/officeDocument/2006/relationships/image" Target="../media/image241.png"/><Relationship Id="rId240" Type="http://schemas.openxmlformats.org/officeDocument/2006/relationships/image" Target="../media/image240.png"/><Relationship Id="rId24" Type="http://schemas.openxmlformats.org/officeDocument/2006/relationships/image" Target="../media/image24.png"/><Relationship Id="rId239" Type="http://schemas.openxmlformats.org/officeDocument/2006/relationships/image" Target="../media/image239.png"/><Relationship Id="rId238" Type="http://schemas.openxmlformats.org/officeDocument/2006/relationships/image" Target="../media/image238.png"/><Relationship Id="rId237" Type="http://schemas.openxmlformats.org/officeDocument/2006/relationships/image" Target="../media/image237.png"/><Relationship Id="rId236" Type="http://schemas.openxmlformats.org/officeDocument/2006/relationships/image" Target="../media/image236.png"/><Relationship Id="rId235" Type="http://schemas.openxmlformats.org/officeDocument/2006/relationships/image" Target="../media/image235.png"/><Relationship Id="rId234" Type="http://schemas.openxmlformats.org/officeDocument/2006/relationships/image" Target="../media/image234.png"/><Relationship Id="rId233" Type="http://schemas.openxmlformats.org/officeDocument/2006/relationships/image" Target="../media/image233.png"/><Relationship Id="rId232" Type="http://schemas.openxmlformats.org/officeDocument/2006/relationships/image" Target="../media/image232.png"/><Relationship Id="rId231" Type="http://schemas.openxmlformats.org/officeDocument/2006/relationships/image" Target="../media/image231.png"/><Relationship Id="rId230" Type="http://schemas.openxmlformats.org/officeDocument/2006/relationships/image" Target="../media/image230.png"/><Relationship Id="rId23" Type="http://schemas.openxmlformats.org/officeDocument/2006/relationships/image" Target="../media/image23.png"/><Relationship Id="rId229" Type="http://schemas.openxmlformats.org/officeDocument/2006/relationships/image" Target="../media/image229.jpeg"/><Relationship Id="rId228" Type="http://schemas.openxmlformats.org/officeDocument/2006/relationships/image" Target="../media/image228.png"/><Relationship Id="rId227" Type="http://schemas.openxmlformats.org/officeDocument/2006/relationships/image" Target="../media/image227.png"/><Relationship Id="rId226" Type="http://schemas.openxmlformats.org/officeDocument/2006/relationships/image" Target="../media/image226.png"/><Relationship Id="rId225" Type="http://schemas.openxmlformats.org/officeDocument/2006/relationships/image" Target="../media/image225.png"/><Relationship Id="rId224" Type="http://schemas.openxmlformats.org/officeDocument/2006/relationships/image" Target="../media/image224.png"/><Relationship Id="rId223" Type="http://schemas.openxmlformats.org/officeDocument/2006/relationships/image" Target="../media/image223.png"/><Relationship Id="rId222" Type="http://schemas.openxmlformats.org/officeDocument/2006/relationships/image" Target="../media/image222.png"/><Relationship Id="rId221" Type="http://schemas.openxmlformats.org/officeDocument/2006/relationships/image" Target="../media/image221.png"/><Relationship Id="rId220" Type="http://schemas.openxmlformats.org/officeDocument/2006/relationships/image" Target="../media/image220.png"/><Relationship Id="rId22" Type="http://schemas.openxmlformats.org/officeDocument/2006/relationships/image" Target="../media/image22.png"/><Relationship Id="rId219" Type="http://schemas.openxmlformats.org/officeDocument/2006/relationships/image" Target="../media/image219.png"/><Relationship Id="rId218" Type="http://schemas.openxmlformats.org/officeDocument/2006/relationships/image" Target="../media/image218.png"/><Relationship Id="rId217" Type="http://schemas.openxmlformats.org/officeDocument/2006/relationships/image" Target="../media/image217.png"/><Relationship Id="rId216" Type="http://schemas.openxmlformats.org/officeDocument/2006/relationships/image" Target="../media/image216.png"/><Relationship Id="rId215" Type="http://schemas.openxmlformats.org/officeDocument/2006/relationships/image" Target="../media/image215.png"/><Relationship Id="rId214" Type="http://schemas.openxmlformats.org/officeDocument/2006/relationships/image" Target="../media/image214.jpeg"/><Relationship Id="rId213" Type="http://schemas.openxmlformats.org/officeDocument/2006/relationships/image" Target="../media/image213.png"/><Relationship Id="rId212" Type="http://schemas.openxmlformats.org/officeDocument/2006/relationships/image" Target="../media/image212.png"/><Relationship Id="rId211" Type="http://schemas.openxmlformats.org/officeDocument/2006/relationships/image" Target="../media/image211.png"/><Relationship Id="rId210" Type="http://schemas.openxmlformats.org/officeDocument/2006/relationships/image" Target="../media/image210.png"/><Relationship Id="rId21" Type="http://schemas.openxmlformats.org/officeDocument/2006/relationships/image" Target="../media/image21.png"/><Relationship Id="rId209" Type="http://schemas.openxmlformats.org/officeDocument/2006/relationships/image" Target="../media/image209.png"/><Relationship Id="rId208" Type="http://schemas.openxmlformats.org/officeDocument/2006/relationships/image" Target="../media/image208.png"/><Relationship Id="rId207" Type="http://schemas.openxmlformats.org/officeDocument/2006/relationships/image" Target="../media/image207.jpeg"/><Relationship Id="rId206" Type="http://schemas.openxmlformats.org/officeDocument/2006/relationships/image" Target="../media/image206.jpeg"/><Relationship Id="rId205" Type="http://schemas.openxmlformats.org/officeDocument/2006/relationships/image" Target="../media/image205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jpeg"/><Relationship Id="rId196" Type="http://schemas.openxmlformats.org/officeDocument/2006/relationships/image" Target="../media/image196.png"/><Relationship Id="rId195" Type="http://schemas.openxmlformats.org/officeDocument/2006/relationships/image" Target="../media/image195.jpe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jpe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jpeg"/><Relationship Id="rId185" Type="http://schemas.openxmlformats.org/officeDocument/2006/relationships/image" Target="../media/image185.jpeg"/><Relationship Id="rId184" Type="http://schemas.openxmlformats.org/officeDocument/2006/relationships/image" Target="../media/image184.png"/><Relationship Id="rId183" Type="http://schemas.openxmlformats.org/officeDocument/2006/relationships/image" Target="../media/image183.jpeg"/><Relationship Id="rId182" Type="http://schemas.openxmlformats.org/officeDocument/2006/relationships/image" Target="../media/image182.jpeg"/><Relationship Id="rId181" Type="http://schemas.openxmlformats.org/officeDocument/2006/relationships/image" Target="../media/image181.jpe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jpe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jpeg"/><Relationship Id="rId171" Type="http://schemas.openxmlformats.org/officeDocument/2006/relationships/image" Target="../media/image171.jpe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jpe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jpe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jpe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jpe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7620</xdr:colOff>
      <xdr:row>4</xdr:row>
      <xdr:rowOff>99060</xdr:rowOff>
    </xdr:to>
    <xdr:pic>
      <xdr:nvPicPr>
        <xdr:cNvPr id="666" name="ID_0CF5609107FA41A2B1DD8EF1C67FB07A" descr="core_image_url__exec_download_1122518303"/>
        <xdr:cNvPicPr/>
      </xdr:nvPicPr>
      <xdr:blipFill>
        <a:blip r:embed="rId1"/>
        <a:stretch>
          <a:fillRect/>
        </a:stretch>
      </xdr:blipFill>
      <xdr:spPr>
        <a:xfrm>
          <a:off x="0" y="0"/>
          <a:ext cx="15430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222885</xdr:colOff>
      <xdr:row>5</xdr:row>
      <xdr:rowOff>161925</xdr:rowOff>
    </xdr:to>
    <xdr:pic>
      <xdr:nvPicPr>
        <xdr:cNvPr id="662" name="ID_2577DE55397A40AC8ACB668CF92570D7" descr="core_image_url__exec_download_785517743"/>
        <xdr:cNvPicPr/>
      </xdr:nvPicPr>
      <xdr:blipFill>
        <a:blip r:embed="rId2"/>
        <a:stretch>
          <a:fillRect/>
        </a:stretch>
      </xdr:blipFill>
      <xdr:spPr>
        <a:xfrm>
          <a:off x="0" y="0"/>
          <a:ext cx="990600" cy="1228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217170</xdr:colOff>
      <xdr:row>3</xdr:row>
      <xdr:rowOff>188595</xdr:rowOff>
    </xdr:to>
    <xdr:pic>
      <xdr:nvPicPr>
        <xdr:cNvPr id="634" name="ID_D6EBF1A2C40F425C81E002E2E9EFB5DB" descr="core_image_url__exec_download_367994175"/>
        <xdr:cNvPicPr/>
      </xdr:nvPicPr>
      <xdr:blipFill>
        <a:blip r:embed="rId3"/>
        <a:stretch>
          <a:fillRect/>
        </a:stretch>
      </xdr:blipFill>
      <xdr:spPr>
        <a:xfrm>
          <a:off x="0" y="0"/>
          <a:ext cx="1752600" cy="828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327660</xdr:colOff>
      <xdr:row>4</xdr:row>
      <xdr:rowOff>146685</xdr:rowOff>
    </xdr:to>
    <xdr:pic>
      <xdr:nvPicPr>
        <xdr:cNvPr id="629" name="ID_C56968A947D1473DA109B775FF3B179C" descr="core_image_url__exec_download_2834311408"/>
        <xdr:cNvPicPr/>
      </xdr:nvPicPr>
      <xdr:blipFill>
        <a:blip r:embed="rId4"/>
        <a:stretch>
          <a:fillRect/>
        </a:stretch>
      </xdr:blipFill>
      <xdr:spPr>
        <a:xfrm>
          <a:off x="0" y="0"/>
          <a:ext cx="1095375" cy="1000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655320</xdr:colOff>
      <xdr:row>2</xdr:row>
      <xdr:rowOff>49530</xdr:rowOff>
    </xdr:to>
    <xdr:pic>
      <xdr:nvPicPr>
        <xdr:cNvPr id="625" name="ID_E1953C7252B14047BF81AF3A8D3692D2" descr="core_image_url__exec_download_3629513741"/>
        <xdr:cNvPicPr/>
      </xdr:nvPicPr>
      <xdr:blipFill>
        <a:blip r:embed="rId5"/>
        <a:stretch>
          <a:fillRect/>
        </a:stretch>
      </xdr:blipFill>
      <xdr:spPr>
        <a:xfrm>
          <a:off x="0" y="0"/>
          <a:ext cx="2190750" cy="476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211455</xdr:colOff>
      <xdr:row>11</xdr:row>
      <xdr:rowOff>148590</xdr:rowOff>
    </xdr:to>
    <xdr:pic>
      <xdr:nvPicPr>
        <xdr:cNvPr id="554" name="ID_19C7B427E9ED4D878A1644E762B0B8E4" descr="core_image_url__exec_download_3355484404"/>
        <xdr:cNvPicPr/>
      </xdr:nvPicPr>
      <xdr:blipFill>
        <a:blip r:embed="rId6"/>
        <a:stretch>
          <a:fillRect/>
        </a:stretch>
      </xdr:blipFill>
      <xdr:spPr>
        <a:xfrm>
          <a:off x="0" y="0"/>
          <a:ext cx="2514600" cy="2495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560070</xdr:colOff>
      <xdr:row>3</xdr:row>
      <xdr:rowOff>74295</xdr:rowOff>
    </xdr:to>
    <xdr:pic>
      <xdr:nvPicPr>
        <xdr:cNvPr id="397" name="ID_DEF0AFF16B8D4CC7811064E4664F4C21" descr="core_image_url__exec_download_1167404073"/>
        <xdr:cNvPicPr/>
      </xdr:nvPicPr>
      <xdr:blipFill>
        <a:blip r:embed="rId7"/>
        <a:stretch>
          <a:fillRect/>
        </a:stretch>
      </xdr:blipFill>
      <xdr:spPr>
        <a:xfrm>
          <a:off x="0" y="0"/>
          <a:ext cx="2095500" cy="714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274320</xdr:colOff>
      <xdr:row>5</xdr:row>
      <xdr:rowOff>152400</xdr:rowOff>
    </xdr:to>
    <xdr:pic>
      <xdr:nvPicPr>
        <xdr:cNvPr id="341" name="ID_84444F3E109942D382A16087AF3980FA" descr="core_image_url__exec_download_1798697060"/>
        <xdr:cNvPicPr/>
      </xdr:nvPicPr>
      <xdr:blipFill>
        <a:blip r:embed="rId8"/>
        <a:stretch>
          <a:fillRect/>
        </a:stretch>
      </xdr:blipFill>
      <xdr:spPr>
        <a:xfrm>
          <a:off x="0" y="0"/>
          <a:ext cx="1809750" cy="121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388620</xdr:colOff>
      <xdr:row>3</xdr:row>
      <xdr:rowOff>26670</xdr:rowOff>
    </xdr:to>
    <xdr:pic>
      <xdr:nvPicPr>
        <xdr:cNvPr id="426" name="ID_83AA5CBE6AEA4EE287637041D8534BB7" descr="core_image_url__exec_download_3182693677"/>
        <xdr:cNvPicPr/>
      </xdr:nvPicPr>
      <xdr:blipFill>
        <a:blip r:embed="rId9"/>
        <a:stretch>
          <a:fillRect/>
        </a:stretch>
      </xdr:blipFill>
      <xdr:spPr>
        <a:xfrm>
          <a:off x="0" y="0"/>
          <a:ext cx="1924050" cy="666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534035</xdr:colOff>
      <xdr:row>5</xdr:row>
      <xdr:rowOff>25400</xdr:rowOff>
    </xdr:to>
    <xdr:pic>
      <xdr:nvPicPr>
        <xdr:cNvPr id="310" name="ID_730D88A7E9A14D65BB8670753A4E54BF" descr="core_image_url__exec_download_4128974934"/>
        <xdr:cNvPicPr/>
      </xdr:nvPicPr>
      <xdr:blipFill>
        <a:blip r:embed="rId10"/>
        <a:stretch>
          <a:fillRect/>
        </a:stretch>
      </xdr:blipFill>
      <xdr:spPr>
        <a:xfrm>
          <a:off x="0" y="0"/>
          <a:ext cx="1301750" cy="109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340995</xdr:colOff>
      <xdr:row>9</xdr:row>
      <xdr:rowOff>129540</xdr:rowOff>
    </xdr:to>
    <xdr:pic>
      <xdr:nvPicPr>
        <xdr:cNvPr id="558" name="ID_BA6B9456FE994902B4E8AF265C805BEB" descr="core_image_url__exec_download_1635837262"/>
        <xdr:cNvPicPr/>
      </xdr:nvPicPr>
      <xdr:blipFill>
        <a:blip r:embed="rId11"/>
        <a:stretch>
          <a:fillRect/>
        </a:stretch>
      </xdr:blipFill>
      <xdr:spPr>
        <a:xfrm>
          <a:off x="0" y="0"/>
          <a:ext cx="2644140" cy="2049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207645</xdr:colOff>
      <xdr:row>4</xdr:row>
      <xdr:rowOff>127635</xdr:rowOff>
    </xdr:to>
    <xdr:pic>
      <xdr:nvPicPr>
        <xdr:cNvPr id="325" name="ID_256083145A654B50BE260C163AA78C77" descr="core_image_url__exec_download_21511347"/>
        <xdr:cNvPicPr/>
      </xdr:nvPicPr>
      <xdr:blipFill>
        <a:blip r:embed="rId12"/>
        <a:stretch>
          <a:fillRect/>
        </a:stretch>
      </xdr:blipFill>
      <xdr:spPr>
        <a:xfrm>
          <a:off x="0" y="0"/>
          <a:ext cx="1743075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754380</xdr:colOff>
      <xdr:row>1</xdr:row>
      <xdr:rowOff>198120</xdr:rowOff>
    </xdr:to>
    <xdr:pic>
      <xdr:nvPicPr>
        <xdr:cNvPr id="348" name="ID_B8F17D0937DA4B179D47A460B4A6CD9B" descr="core_image_url__exec_download_1930227765"/>
        <xdr:cNvPicPr/>
      </xdr:nvPicPr>
      <xdr:blipFill>
        <a:blip r:embed="rId13"/>
        <a:stretch>
          <a:fillRect/>
        </a:stretch>
      </xdr:blipFill>
      <xdr:spPr>
        <a:xfrm>
          <a:off x="0" y="0"/>
          <a:ext cx="754380" cy="411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337185</xdr:colOff>
      <xdr:row>3</xdr:row>
      <xdr:rowOff>160020</xdr:rowOff>
    </xdr:to>
    <xdr:pic>
      <xdr:nvPicPr>
        <xdr:cNvPr id="260" name="ID_0F81C5BF338847A683837F6E835249F8" descr="core_image_url__exec_download_1712613007"/>
        <xdr:cNvPicPr/>
      </xdr:nvPicPr>
      <xdr:blipFill>
        <a:blip r:embed="rId14"/>
        <a:stretch>
          <a:fillRect/>
        </a:stretch>
      </xdr:blipFill>
      <xdr:spPr>
        <a:xfrm>
          <a:off x="0" y="0"/>
          <a:ext cx="11049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319405</xdr:colOff>
      <xdr:row>3</xdr:row>
      <xdr:rowOff>68580</xdr:rowOff>
    </xdr:to>
    <xdr:pic>
      <xdr:nvPicPr>
        <xdr:cNvPr id="343" name="ID_94531AA2AE3B4B2F8FE99A846BA2A0E3" descr="core_image_url__exec_download_3590812983"/>
        <xdr:cNvPicPr/>
      </xdr:nvPicPr>
      <xdr:blipFill>
        <a:blip r:embed="rId15"/>
        <a:stretch>
          <a:fillRect/>
        </a:stretch>
      </xdr:blipFill>
      <xdr:spPr>
        <a:xfrm>
          <a:off x="0" y="0"/>
          <a:ext cx="319405" cy="708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687705</xdr:colOff>
      <xdr:row>4</xdr:row>
      <xdr:rowOff>114300</xdr:rowOff>
    </xdr:to>
    <xdr:pic>
      <xdr:nvPicPr>
        <xdr:cNvPr id="586" name="ID_1344B954D36844F1A459372D7F1C8064" descr="core_image_url__exec_download_2321286774"/>
        <xdr:cNvPicPr/>
      </xdr:nvPicPr>
      <xdr:blipFill>
        <a:blip r:embed="rId16"/>
        <a:stretch>
          <a:fillRect/>
        </a:stretch>
      </xdr:blipFill>
      <xdr:spPr>
        <a:xfrm>
          <a:off x="0" y="0"/>
          <a:ext cx="1455420" cy="967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270510</xdr:colOff>
      <xdr:row>3</xdr:row>
      <xdr:rowOff>102870</xdr:rowOff>
    </xdr:to>
    <xdr:pic>
      <xdr:nvPicPr>
        <xdr:cNvPr id="252" name="ID_2DAEB8C13B7A43ED99ADA44B68357038" descr="core_image_url__exec_download_2455350434"/>
        <xdr:cNvPicPr/>
      </xdr:nvPicPr>
      <xdr:blipFill>
        <a:blip r:embed="rId17"/>
        <a:stretch>
          <a:fillRect/>
        </a:stretch>
      </xdr:blipFill>
      <xdr:spPr>
        <a:xfrm>
          <a:off x="0" y="0"/>
          <a:ext cx="1038225" cy="742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363855</xdr:colOff>
      <xdr:row>13</xdr:row>
      <xdr:rowOff>83820</xdr:rowOff>
    </xdr:to>
    <xdr:pic>
      <xdr:nvPicPr>
        <xdr:cNvPr id="668" name="ID_8C197FBB9ADD4FF3858009CF5FAFF18D" descr="core_image_url__exec_download_1949520049"/>
        <xdr:cNvPicPr/>
      </xdr:nvPicPr>
      <xdr:blipFill>
        <a:blip r:embed="rId18"/>
        <a:stretch>
          <a:fillRect/>
        </a:stretch>
      </xdr:blipFill>
      <xdr:spPr>
        <a:xfrm>
          <a:off x="0" y="0"/>
          <a:ext cx="2667000" cy="285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15</xdr:row>
      <xdr:rowOff>200025</xdr:rowOff>
    </xdr:to>
    <xdr:pic>
      <xdr:nvPicPr>
        <xdr:cNvPr id="679" name="ID_68653EE0E1CC4AD9A19ADB3D88629635" descr="core_image_url__exec_download_1990728985"/>
        <xdr:cNvPicPr/>
      </xdr:nvPicPr>
      <xdr:blipFill>
        <a:blip r:embed="rId19"/>
        <a:stretch>
          <a:fillRect/>
        </a:stretch>
      </xdr:blipFill>
      <xdr:spPr>
        <a:xfrm>
          <a:off x="0" y="0"/>
          <a:ext cx="5105400" cy="3400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360045</xdr:colOff>
      <xdr:row>2</xdr:row>
      <xdr:rowOff>163830</xdr:rowOff>
    </xdr:to>
    <xdr:pic>
      <xdr:nvPicPr>
        <xdr:cNvPr id="187" name="ID_E9F0B6DAFDD94878B68CF3AF389E1EE1" descr="core_image_url__exec_download_1613867401"/>
        <xdr:cNvPicPr/>
      </xdr:nvPicPr>
      <xdr:blipFill>
        <a:blip r:embed="rId20"/>
        <a:stretch>
          <a:fillRect/>
        </a:stretch>
      </xdr:blipFill>
      <xdr:spPr>
        <a:xfrm>
          <a:off x="0" y="0"/>
          <a:ext cx="1895475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93345</xdr:colOff>
      <xdr:row>6</xdr:row>
      <xdr:rowOff>15240</xdr:rowOff>
    </xdr:to>
    <xdr:pic>
      <xdr:nvPicPr>
        <xdr:cNvPr id="184" name="ID_B4D728065DE1425B82EDEAB02F2CC040" descr="core_image_url__exec_download_1904138300"/>
        <xdr:cNvPicPr/>
      </xdr:nvPicPr>
      <xdr:blipFill>
        <a:blip r:embed="rId21"/>
        <a:stretch>
          <a:fillRect/>
        </a:stretch>
      </xdr:blipFill>
      <xdr:spPr>
        <a:xfrm>
          <a:off x="0" y="0"/>
          <a:ext cx="1628775" cy="1295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10</xdr:row>
      <xdr:rowOff>142875</xdr:rowOff>
    </xdr:to>
    <xdr:pic>
      <xdr:nvPicPr>
        <xdr:cNvPr id="678" name="ID_36E313895AD744099C5087D4FB9D2BB1" descr="core_image_url__exec_download_280632381"/>
        <xdr:cNvPicPr/>
      </xdr:nvPicPr>
      <xdr:blipFill>
        <a:blip r:embed="rId22"/>
        <a:stretch>
          <a:fillRect/>
        </a:stretch>
      </xdr:blipFill>
      <xdr:spPr>
        <a:xfrm>
          <a:off x="0" y="0"/>
          <a:ext cx="5105400" cy="2276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678180</xdr:colOff>
      <xdr:row>1</xdr:row>
      <xdr:rowOff>0</xdr:rowOff>
    </xdr:to>
    <xdr:pic>
      <xdr:nvPicPr>
        <xdr:cNvPr id="410" name="ID_7A56C3F41B2A4A2ABCACE95825BAC176" descr="core_image_url__exec_download_2246121021"/>
        <xdr:cNvPicPr/>
      </xdr:nvPicPr>
      <xdr:blipFill>
        <a:blip r:embed="rId23"/>
        <a:stretch>
          <a:fillRect/>
        </a:stretch>
      </xdr:blipFill>
      <xdr:spPr>
        <a:xfrm>
          <a:off x="0" y="0"/>
          <a:ext cx="678180" cy="2133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626745</xdr:colOff>
      <xdr:row>9</xdr:row>
      <xdr:rowOff>184785</xdr:rowOff>
    </xdr:to>
    <xdr:pic>
      <xdr:nvPicPr>
        <xdr:cNvPr id="146" name="ID_63E7DF9E466D4C8FBAB08B81E1D586F8" descr="core_image_url__exec_download_3290892456"/>
        <xdr:cNvPicPr/>
      </xdr:nvPicPr>
      <xdr:blipFill>
        <a:blip r:embed="rId24"/>
        <a:stretch>
          <a:fillRect/>
        </a:stretch>
      </xdr:blipFill>
      <xdr:spPr>
        <a:xfrm>
          <a:off x="0" y="0"/>
          <a:ext cx="2162175" cy="2105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15</xdr:row>
      <xdr:rowOff>200025</xdr:rowOff>
    </xdr:to>
    <xdr:pic>
      <xdr:nvPicPr>
        <xdr:cNvPr id="672" name="ID_A3F218A45AE94E02A8B7AB8D53002D8A" descr="core_image_url__exec_download_1312946208"/>
        <xdr:cNvPicPr/>
      </xdr:nvPicPr>
      <xdr:blipFill>
        <a:blip r:embed="rId25"/>
        <a:stretch>
          <a:fillRect/>
        </a:stretch>
      </xdr:blipFill>
      <xdr:spPr>
        <a:xfrm>
          <a:off x="0" y="0"/>
          <a:ext cx="5105400" cy="3400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15</xdr:row>
      <xdr:rowOff>0</xdr:rowOff>
    </xdr:to>
    <xdr:pic>
      <xdr:nvPicPr>
        <xdr:cNvPr id="670" name="ID_606A1B4B3C914FB7B65E2CC442024590" descr="core_image_url__exec_download_2149222635"/>
        <xdr:cNvPicPr/>
      </xdr:nvPicPr>
      <xdr:blipFill>
        <a:blip r:embed="rId26"/>
        <a:stretch>
          <a:fillRect/>
        </a:stretch>
      </xdr:blipFill>
      <xdr:spPr>
        <a:xfrm>
          <a:off x="0" y="0"/>
          <a:ext cx="5105400" cy="3200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737235</xdr:colOff>
      <xdr:row>6</xdr:row>
      <xdr:rowOff>135890</xdr:rowOff>
    </xdr:to>
    <xdr:pic>
      <xdr:nvPicPr>
        <xdr:cNvPr id="125" name="ID_D4E9C56C1F154E7992E9D1F56780F72A" descr="core_image_url__exec_download_3314763681"/>
        <xdr:cNvPicPr/>
      </xdr:nvPicPr>
      <xdr:blipFill>
        <a:blip r:embed="rId27"/>
        <a:stretch>
          <a:fillRect/>
        </a:stretch>
      </xdr:blipFill>
      <xdr:spPr>
        <a:xfrm>
          <a:off x="0" y="0"/>
          <a:ext cx="1504950" cy="1416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579755</xdr:colOff>
      <xdr:row>9</xdr:row>
      <xdr:rowOff>3810</xdr:rowOff>
    </xdr:to>
    <xdr:pic>
      <xdr:nvPicPr>
        <xdr:cNvPr id="97" name="ID_BA270DE8283A49BC912A7D64F47744FB" descr="core_image_url__exec_download_3163927250"/>
        <xdr:cNvPicPr/>
      </xdr:nvPicPr>
      <xdr:blipFill>
        <a:blip r:embed="rId28"/>
        <a:stretch>
          <a:fillRect/>
        </a:stretch>
      </xdr:blipFill>
      <xdr:spPr>
        <a:xfrm>
          <a:off x="0" y="0"/>
          <a:ext cx="2882900" cy="1924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241935</xdr:colOff>
      <xdr:row>5</xdr:row>
      <xdr:rowOff>6350</xdr:rowOff>
    </xdr:to>
    <xdr:pic>
      <xdr:nvPicPr>
        <xdr:cNvPr id="255" name="ID_7EEF254320774FACB545BB91F148E8CA" descr="core_image_url__exec_download_2456163368"/>
        <xdr:cNvPicPr/>
      </xdr:nvPicPr>
      <xdr:blipFill>
        <a:blip r:embed="rId29"/>
        <a:stretch>
          <a:fillRect/>
        </a:stretch>
      </xdr:blipFill>
      <xdr:spPr>
        <a:xfrm>
          <a:off x="0" y="0"/>
          <a:ext cx="1009650" cy="1073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184785</xdr:colOff>
      <xdr:row>4</xdr:row>
      <xdr:rowOff>118110</xdr:rowOff>
    </xdr:to>
    <xdr:pic>
      <xdr:nvPicPr>
        <xdr:cNvPr id="37" name="ID_AE3EDCE2F2E04B15830070A6EA6FA2B1" descr="core_image_url__exec_download_1479328438"/>
        <xdr:cNvPicPr/>
      </xdr:nvPicPr>
      <xdr:blipFill>
        <a:blip r:embed="rId30"/>
        <a:stretch>
          <a:fillRect/>
        </a:stretch>
      </xdr:blipFill>
      <xdr:spPr>
        <a:xfrm>
          <a:off x="0" y="0"/>
          <a:ext cx="952500" cy="971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13</xdr:row>
      <xdr:rowOff>160020</xdr:rowOff>
    </xdr:to>
    <xdr:pic>
      <xdr:nvPicPr>
        <xdr:cNvPr id="677" name="ID_F8E18F153EBC45499D68155377FCBBFF" descr="core_image_url__exec_download_3511598489"/>
        <xdr:cNvPicPr/>
      </xdr:nvPicPr>
      <xdr:blipFill>
        <a:blip r:embed="rId31"/>
        <a:stretch>
          <a:fillRect/>
        </a:stretch>
      </xdr:blipFill>
      <xdr:spPr>
        <a:xfrm>
          <a:off x="0" y="0"/>
          <a:ext cx="5105400" cy="2933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342900</xdr:colOff>
      <xdr:row>4</xdr:row>
      <xdr:rowOff>22860</xdr:rowOff>
    </xdr:to>
    <xdr:pic>
      <xdr:nvPicPr>
        <xdr:cNvPr id="57" name="ID_CADAABC639984186BA1CD902C802BDFE" descr="core_image_url__exec_download_1971962490"/>
        <xdr:cNvPicPr/>
      </xdr:nvPicPr>
      <xdr:blipFill>
        <a:blip r:embed="rId32"/>
        <a:stretch>
          <a:fillRect/>
        </a:stretch>
      </xdr:blipFill>
      <xdr:spPr>
        <a:xfrm>
          <a:off x="0" y="0"/>
          <a:ext cx="1110615" cy="876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739775</xdr:colOff>
      <xdr:row>1</xdr:row>
      <xdr:rowOff>156210</xdr:rowOff>
    </xdr:to>
    <xdr:pic>
      <xdr:nvPicPr>
        <xdr:cNvPr id="656" name="ID_F1E0E01360E94AED844A10B6C2BCA82F" descr="564"/>
        <xdr:cNvPicPr/>
      </xdr:nvPicPr>
      <xdr:blipFill>
        <a:blip r:embed="rId33"/>
        <a:srcRect/>
        <a:stretch>
          <a:fillRect/>
        </a:stretch>
      </xdr:blipFill>
      <xdr:spPr>
        <a:xfrm>
          <a:off x="1746250" y="249555000"/>
          <a:ext cx="739775" cy="3695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648335</xdr:colOff>
      <xdr:row>1</xdr:row>
      <xdr:rowOff>152400</xdr:rowOff>
    </xdr:to>
    <xdr:pic>
      <xdr:nvPicPr>
        <xdr:cNvPr id="655" name="ID_BEAFDD550BE74A0A8D0CB111BED21806" descr="565"/>
        <xdr:cNvPicPr/>
      </xdr:nvPicPr>
      <xdr:blipFill>
        <a:blip r:embed="rId34"/>
        <a:srcRect/>
        <a:stretch>
          <a:fillRect/>
        </a:stretch>
      </xdr:blipFill>
      <xdr:spPr>
        <a:xfrm>
          <a:off x="1746250" y="249174000"/>
          <a:ext cx="648335" cy="3657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128905</xdr:colOff>
      <xdr:row>1</xdr:row>
      <xdr:rowOff>146685</xdr:rowOff>
    </xdr:to>
    <xdr:pic>
      <xdr:nvPicPr>
        <xdr:cNvPr id="652" name="ID_02A94D9A6E1841498392CB2B426839C9" descr="563"/>
        <xdr:cNvPicPr/>
      </xdr:nvPicPr>
      <xdr:blipFill>
        <a:blip r:embed="rId35"/>
        <a:srcRect/>
        <a:stretch>
          <a:fillRect/>
        </a:stretch>
      </xdr:blipFill>
      <xdr:spPr>
        <a:xfrm>
          <a:off x="1755140" y="248042430"/>
          <a:ext cx="896620" cy="3600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657225</xdr:colOff>
      <xdr:row>1</xdr:row>
      <xdr:rowOff>156845</xdr:rowOff>
    </xdr:to>
    <xdr:pic>
      <xdr:nvPicPr>
        <xdr:cNvPr id="651" name="ID_943CB92D6D4C4B508034AEB764926A4F" descr="561"/>
        <xdr:cNvPicPr/>
      </xdr:nvPicPr>
      <xdr:blipFill>
        <a:blip r:embed="rId36"/>
        <a:srcRect/>
        <a:stretch>
          <a:fillRect/>
        </a:stretch>
      </xdr:blipFill>
      <xdr:spPr>
        <a:xfrm>
          <a:off x="1746250" y="247650000"/>
          <a:ext cx="657225" cy="37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42545</xdr:colOff>
      <xdr:row>1</xdr:row>
      <xdr:rowOff>154305</xdr:rowOff>
    </xdr:to>
    <xdr:pic>
      <xdr:nvPicPr>
        <xdr:cNvPr id="650" name="ID_A042BAFEB9114D9FB121B6128D77496C" descr="560"/>
        <xdr:cNvPicPr/>
      </xdr:nvPicPr>
      <xdr:blipFill>
        <a:blip r:embed="rId37"/>
        <a:srcRect/>
        <a:stretch>
          <a:fillRect/>
        </a:stretch>
      </xdr:blipFill>
      <xdr:spPr>
        <a:xfrm>
          <a:off x="1746250" y="247269000"/>
          <a:ext cx="810260" cy="3676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74295</xdr:colOff>
      <xdr:row>7</xdr:row>
      <xdr:rowOff>121920</xdr:rowOff>
    </xdr:to>
    <xdr:pic>
      <xdr:nvPicPr>
        <xdr:cNvPr id="602" name="ID_2AECBA8FDED2460F879DEFD867FE1FAC" descr="core_image_url__exec_download_1954481716"/>
        <xdr:cNvPicPr/>
      </xdr:nvPicPr>
      <xdr:blipFill>
        <a:blip r:embed="rId38"/>
        <a:stretch>
          <a:fillRect/>
        </a:stretch>
      </xdr:blipFill>
      <xdr:spPr>
        <a:xfrm>
          <a:off x="0" y="0"/>
          <a:ext cx="2377440" cy="1615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408305</xdr:colOff>
      <xdr:row>1</xdr:row>
      <xdr:rowOff>158115</xdr:rowOff>
    </xdr:to>
    <xdr:pic>
      <xdr:nvPicPr>
        <xdr:cNvPr id="649" name="ID_DB16EBCED8D34F6D88D006F490C74652" descr="559"/>
        <xdr:cNvPicPr/>
      </xdr:nvPicPr>
      <xdr:blipFill>
        <a:blip r:embed="rId39"/>
        <a:srcRect/>
        <a:stretch>
          <a:fillRect/>
        </a:stretch>
      </xdr:blipFill>
      <xdr:spPr>
        <a:xfrm>
          <a:off x="1746250" y="246888000"/>
          <a:ext cx="408305" cy="3714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401320</xdr:colOff>
      <xdr:row>1</xdr:row>
      <xdr:rowOff>146685</xdr:rowOff>
    </xdr:to>
    <xdr:pic>
      <xdr:nvPicPr>
        <xdr:cNvPr id="648" name="ID_830265629BC64662978A97C42BC09A46" descr="557"/>
        <xdr:cNvPicPr/>
      </xdr:nvPicPr>
      <xdr:blipFill>
        <a:blip r:embed="rId40"/>
        <a:srcRect/>
        <a:stretch>
          <a:fillRect/>
        </a:stretch>
      </xdr:blipFill>
      <xdr:spPr>
        <a:xfrm>
          <a:off x="1753870" y="246507000"/>
          <a:ext cx="401320" cy="3600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725805</xdr:colOff>
      <xdr:row>3</xdr:row>
      <xdr:rowOff>152400</xdr:rowOff>
    </xdr:to>
    <xdr:pic>
      <xdr:nvPicPr>
        <xdr:cNvPr id="143" name="ID_9A5AE4C277314ABA832D29128F642DC3" descr="core_image_url__exec_download_1418173393"/>
        <xdr:cNvPicPr/>
      </xdr:nvPicPr>
      <xdr:blipFill>
        <a:blip r:embed="rId41"/>
        <a:stretch>
          <a:fillRect/>
        </a:stretch>
      </xdr:blipFill>
      <xdr:spPr>
        <a:xfrm>
          <a:off x="0" y="0"/>
          <a:ext cx="1493520" cy="792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352425</xdr:colOff>
      <xdr:row>1</xdr:row>
      <xdr:rowOff>175895</xdr:rowOff>
    </xdr:to>
    <xdr:pic>
      <xdr:nvPicPr>
        <xdr:cNvPr id="207" name="ID_CD6A6D3DB31945B881E8C95E89ED1B6A" descr="520"/>
        <xdr:cNvPicPr/>
      </xdr:nvPicPr>
      <xdr:blipFill>
        <a:blip r:embed="rId42"/>
        <a:srcRect/>
        <a:stretch>
          <a:fillRect/>
        </a:stretch>
      </xdr:blipFill>
      <xdr:spPr>
        <a:xfrm>
          <a:off x="1820545" y="46483270"/>
          <a:ext cx="352425" cy="389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709930</xdr:colOff>
      <xdr:row>1</xdr:row>
      <xdr:rowOff>136525</xdr:rowOff>
    </xdr:to>
    <xdr:pic>
      <xdr:nvPicPr>
        <xdr:cNvPr id="167" name="ID_86C0DBDFD0B548ABABC284CA14F8A1A5" descr="538"/>
        <xdr:cNvPicPr/>
      </xdr:nvPicPr>
      <xdr:blipFill>
        <a:blip r:embed="rId43"/>
        <a:srcRect/>
        <a:stretch>
          <a:fillRect/>
        </a:stretch>
      </xdr:blipFill>
      <xdr:spPr>
        <a:xfrm>
          <a:off x="1746250" y="45720000"/>
          <a:ext cx="709930" cy="3498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555625</xdr:colOff>
      <xdr:row>1</xdr:row>
      <xdr:rowOff>16510</xdr:rowOff>
    </xdr:to>
    <xdr:pic>
      <xdr:nvPicPr>
        <xdr:cNvPr id="174" name="ID_922C562AF0F54A97A4B4016C507785E0" descr="521"/>
        <xdr:cNvPicPr/>
      </xdr:nvPicPr>
      <xdr:blipFill>
        <a:blip r:embed="rId44"/>
        <a:srcRect/>
        <a:stretch>
          <a:fillRect/>
        </a:stretch>
      </xdr:blipFill>
      <xdr:spPr>
        <a:xfrm>
          <a:off x="1802765" y="44651295"/>
          <a:ext cx="555625" cy="2298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349250</xdr:colOff>
      <xdr:row>1</xdr:row>
      <xdr:rowOff>115570</xdr:rowOff>
    </xdr:to>
    <xdr:pic>
      <xdr:nvPicPr>
        <xdr:cNvPr id="368" name="ID_0328A9E0FA7A4A478C0FDCDAB7B3FDAB" descr="537"/>
        <xdr:cNvPicPr/>
      </xdr:nvPicPr>
      <xdr:blipFill>
        <a:blip r:embed="rId45"/>
        <a:srcRect/>
        <a:stretch>
          <a:fillRect/>
        </a:stretch>
      </xdr:blipFill>
      <xdr:spPr>
        <a:xfrm>
          <a:off x="1990725" y="44278550"/>
          <a:ext cx="349250" cy="3289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251460</xdr:colOff>
      <xdr:row>4</xdr:row>
      <xdr:rowOff>156210</xdr:rowOff>
    </xdr:to>
    <xdr:pic>
      <xdr:nvPicPr>
        <xdr:cNvPr id="131" name="ID_29C8463BD3AB4563B4F0FFCD30957291" descr="core_image_url__exec_download_3716863771"/>
        <xdr:cNvPicPr/>
      </xdr:nvPicPr>
      <xdr:blipFill>
        <a:blip r:embed="rId46"/>
        <a:stretch>
          <a:fillRect/>
        </a:stretch>
      </xdr:blipFill>
      <xdr:spPr>
        <a:xfrm>
          <a:off x="0" y="0"/>
          <a:ext cx="1019175" cy="1009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251460</xdr:colOff>
      <xdr:row>4</xdr:row>
      <xdr:rowOff>156210</xdr:rowOff>
    </xdr:to>
    <xdr:pic>
      <xdr:nvPicPr>
        <xdr:cNvPr id="130" name="ID_FC65332BA5174791902A7D7D339DBB6E" descr="core_image_url__exec_download_376730203"/>
        <xdr:cNvPicPr/>
      </xdr:nvPicPr>
      <xdr:blipFill>
        <a:blip r:embed="rId46"/>
        <a:stretch>
          <a:fillRect/>
        </a:stretch>
      </xdr:blipFill>
      <xdr:spPr>
        <a:xfrm>
          <a:off x="0" y="0"/>
          <a:ext cx="1019175" cy="1009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468630</xdr:colOff>
      <xdr:row>1</xdr:row>
      <xdr:rowOff>185420</xdr:rowOff>
    </xdr:to>
    <xdr:pic>
      <xdr:nvPicPr>
        <xdr:cNvPr id="469" name="ID_A01175E2F0BE47CDB48837D6039728A4" descr="74"/>
        <xdr:cNvPicPr/>
      </xdr:nvPicPr>
      <xdr:blipFill>
        <a:blip r:embed="rId47"/>
        <a:srcRect/>
        <a:stretch>
          <a:fillRect/>
        </a:stretch>
      </xdr:blipFill>
      <xdr:spPr>
        <a:xfrm>
          <a:off x="1979295" y="42739310"/>
          <a:ext cx="468630" cy="39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523875</xdr:colOff>
      <xdr:row>1</xdr:row>
      <xdr:rowOff>144145</xdr:rowOff>
    </xdr:to>
    <xdr:pic>
      <xdr:nvPicPr>
        <xdr:cNvPr id="447" name="ID_A111E247AC614A738CF23A5E96AB7130" descr="534"/>
        <xdr:cNvPicPr/>
      </xdr:nvPicPr>
      <xdr:blipFill>
        <a:blip r:embed="rId48"/>
        <a:srcRect/>
        <a:stretch>
          <a:fillRect/>
        </a:stretch>
      </xdr:blipFill>
      <xdr:spPr>
        <a:xfrm>
          <a:off x="2082165" y="41971595"/>
          <a:ext cx="523875" cy="3575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318135</xdr:colOff>
      <xdr:row>1</xdr:row>
      <xdr:rowOff>142240</xdr:rowOff>
    </xdr:to>
    <xdr:pic>
      <xdr:nvPicPr>
        <xdr:cNvPr id="172" name="ID_8A1422B9E752499DA4B36A15544C43A7" descr="518"/>
        <xdr:cNvPicPr/>
      </xdr:nvPicPr>
      <xdr:blipFill>
        <a:blip r:embed="rId42"/>
        <a:srcRect/>
        <a:stretch>
          <a:fillRect/>
        </a:stretch>
      </xdr:blipFill>
      <xdr:spPr>
        <a:xfrm>
          <a:off x="2067560" y="55334535"/>
          <a:ext cx="318135" cy="355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440055</xdr:colOff>
      <xdr:row>1</xdr:row>
      <xdr:rowOff>78105</xdr:rowOff>
    </xdr:to>
    <xdr:pic>
      <xdr:nvPicPr>
        <xdr:cNvPr id="212" name="ID_870D785126C740D49DC7CCF149D61474" descr="517"/>
        <xdr:cNvPicPr/>
      </xdr:nvPicPr>
      <xdr:blipFill>
        <a:blip r:embed="rId49"/>
        <a:srcRect/>
        <a:stretch>
          <a:fillRect/>
        </a:stretch>
      </xdr:blipFill>
      <xdr:spPr>
        <a:xfrm>
          <a:off x="2083435" y="54981475"/>
          <a:ext cx="440055" cy="2914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363855</xdr:colOff>
      <xdr:row>7</xdr:row>
      <xdr:rowOff>154305</xdr:rowOff>
    </xdr:to>
    <xdr:pic>
      <xdr:nvPicPr>
        <xdr:cNvPr id="7" name="ID_BE1C90CBCBC54578A7C8AF28AB365D54" descr="core_image_url__exec_download_2794195357"/>
        <xdr:cNvPicPr/>
      </xdr:nvPicPr>
      <xdr:blipFill>
        <a:blip r:embed="rId50"/>
        <a:stretch>
          <a:fillRect/>
        </a:stretch>
      </xdr:blipFill>
      <xdr:spPr>
        <a:xfrm>
          <a:off x="0" y="0"/>
          <a:ext cx="2667000" cy="1647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3810</xdr:colOff>
      <xdr:row>1</xdr:row>
      <xdr:rowOff>120015</xdr:rowOff>
    </xdr:to>
    <xdr:pic>
      <xdr:nvPicPr>
        <xdr:cNvPr id="196" name="ID_082B8B37813046369222B0C571713EEE" descr="core_image_url__exec_download_551987901"/>
        <xdr:cNvPicPr/>
      </xdr:nvPicPr>
      <xdr:blipFill>
        <a:blip r:embed="rId51"/>
        <a:stretch>
          <a:fillRect/>
        </a:stretch>
      </xdr:blipFill>
      <xdr:spPr>
        <a:xfrm>
          <a:off x="0" y="0"/>
          <a:ext cx="771525" cy="333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491490</xdr:colOff>
      <xdr:row>4</xdr:row>
      <xdr:rowOff>80010</xdr:rowOff>
    </xdr:to>
    <xdr:pic>
      <xdr:nvPicPr>
        <xdr:cNvPr id="8" name="ID_6DD3C4A2F03B428A9B8519C9A3BD34F9" descr="core_image_url__exec_download_926084446"/>
        <xdr:cNvPicPr/>
      </xdr:nvPicPr>
      <xdr:blipFill>
        <a:blip r:embed="rId52"/>
        <a:stretch>
          <a:fillRect/>
        </a:stretch>
      </xdr:blipFill>
      <xdr:spPr>
        <a:xfrm>
          <a:off x="0" y="0"/>
          <a:ext cx="3562350" cy="933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554355</xdr:colOff>
      <xdr:row>3</xdr:row>
      <xdr:rowOff>83820</xdr:rowOff>
    </xdr:to>
    <xdr:pic>
      <xdr:nvPicPr>
        <xdr:cNvPr id="569" name="ID_D7829C8D6EB04D6BB648C33739EE5F72" descr="core_image_url__exec_download_1971909447"/>
        <xdr:cNvPicPr/>
      </xdr:nvPicPr>
      <xdr:blipFill>
        <a:blip r:embed="rId53"/>
        <a:stretch>
          <a:fillRect/>
        </a:stretch>
      </xdr:blipFill>
      <xdr:spPr>
        <a:xfrm>
          <a:off x="0" y="0"/>
          <a:ext cx="2857500" cy="723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1905</xdr:colOff>
      <xdr:row>1</xdr:row>
      <xdr:rowOff>22860</xdr:rowOff>
    </xdr:to>
    <xdr:pic>
      <xdr:nvPicPr>
        <xdr:cNvPr id="317" name="ID_528DFC40C3844DDF87AF7E0C64795596" descr="core_image_url__exec_download_1704550689"/>
        <xdr:cNvPicPr/>
      </xdr:nvPicPr>
      <xdr:blipFill>
        <a:blip r:embed="rId54"/>
        <a:stretch>
          <a:fillRect/>
        </a:stretch>
      </xdr:blipFill>
      <xdr:spPr>
        <a:xfrm>
          <a:off x="0" y="0"/>
          <a:ext cx="769620" cy="2362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542290</xdr:colOff>
      <xdr:row>1</xdr:row>
      <xdr:rowOff>135890</xdr:rowOff>
    </xdr:to>
    <xdr:pic>
      <xdr:nvPicPr>
        <xdr:cNvPr id="383" name="ID_8D72BD435F95452A9D2B7BA7E2FB33C5" descr="523"/>
        <xdr:cNvPicPr/>
      </xdr:nvPicPr>
      <xdr:blipFill>
        <a:blip r:embed="rId55"/>
        <a:srcRect/>
        <a:stretch>
          <a:fillRect/>
        </a:stretch>
      </xdr:blipFill>
      <xdr:spPr>
        <a:xfrm>
          <a:off x="2144395" y="50461545"/>
          <a:ext cx="542290" cy="349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392430</xdr:colOff>
      <xdr:row>1</xdr:row>
      <xdr:rowOff>163830</xdr:rowOff>
    </xdr:to>
    <xdr:pic>
      <xdr:nvPicPr>
        <xdr:cNvPr id="168" name="ID_98823A56D70B4A528FEB2947CB0ACF00" descr="540"/>
        <xdr:cNvPicPr/>
      </xdr:nvPicPr>
      <xdr:blipFill>
        <a:blip r:embed="rId56"/>
        <a:srcRect/>
        <a:stretch>
          <a:fillRect/>
        </a:stretch>
      </xdr:blipFill>
      <xdr:spPr>
        <a:xfrm>
          <a:off x="1746250" y="47625000"/>
          <a:ext cx="392430" cy="3771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384810</xdr:colOff>
      <xdr:row>11</xdr:row>
      <xdr:rowOff>2540</xdr:rowOff>
    </xdr:to>
    <xdr:pic>
      <xdr:nvPicPr>
        <xdr:cNvPr id="140" name="ID_EDD2A84FB29943F79C4DCA4DCBFA26F8" descr="core_image_url__exec_download_2515155868"/>
        <xdr:cNvPicPr/>
      </xdr:nvPicPr>
      <xdr:blipFill>
        <a:blip r:embed="rId57"/>
        <a:stretch>
          <a:fillRect/>
        </a:stretch>
      </xdr:blipFill>
      <xdr:spPr>
        <a:xfrm>
          <a:off x="0" y="0"/>
          <a:ext cx="4991100" cy="2349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15</xdr:row>
      <xdr:rowOff>200025</xdr:rowOff>
    </xdr:to>
    <xdr:pic>
      <xdr:nvPicPr>
        <xdr:cNvPr id="680" name="ID_A8F471125E4440F09543B01FB4A8FE71" descr="core_image_url__exec_download_1922660423"/>
        <xdr:cNvPicPr/>
      </xdr:nvPicPr>
      <xdr:blipFill>
        <a:blip r:embed="rId19"/>
        <a:stretch>
          <a:fillRect/>
        </a:stretch>
      </xdr:blipFill>
      <xdr:spPr>
        <a:xfrm>
          <a:off x="0" y="0"/>
          <a:ext cx="5105400" cy="3400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15</xdr:row>
      <xdr:rowOff>57150</xdr:rowOff>
    </xdr:to>
    <xdr:pic>
      <xdr:nvPicPr>
        <xdr:cNvPr id="675" name="ID_FF4EF763E642417DBB0BC150765C99D1" descr="core_image_url__exec_download_1281066835"/>
        <xdr:cNvPicPr/>
      </xdr:nvPicPr>
      <xdr:blipFill>
        <a:blip r:embed="rId58"/>
        <a:stretch>
          <a:fillRect/>
        </a:stretch>
      </xdr:blipFill>
      <xdr:spPr>
        <a:xfrm>
          <a:off x="0" y="0"/>
          <a:ext cx="5105400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73025</xdr:colOff>
      <xdr:row>1</xdr:row>
      <xdr:rowOff>54610</xdr:rowOff>
    </xdr:to>
    <xdr:pic>
      <xdr:nvPicPr>
        <xdr:cNvPr id="171" name="ID_EDC98AE6F9DD4BCAA5AF4746192E9733" descr="527"/>
        <xdr:cNvPicPr/>
      </xdr:nvPicPr>
      <xdr:blipFill>
        <a:blip r:embed="rId59"/>
        <a:srcRect/>
        <a:stretch>
          <a:fillRect/>
        </a:stretch>
      </xdr:blipFill>
      <xdr:spPr>
        <a:xfrm>
          <a:off x="2029460" y="52314475"/>
          <a:ext cx="840740" cy="2679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354330</xdr:colOff>
      <xdr:row>17</xdr:row>
      <xdr:rowOff>0</xdr:rowOff>
    </xdr:to>
    <xdr:pic>
      <xdr:nvPicPr>
        <xdr:cNvPr id="589" name="ID_69151571D7DA48A0AC681150786E306F" descr="core_image_url__exec_download_3414590388"/>
        <xdr:cNvPicPr/>
      </xdr:nvPicPr>
      <xdr:blipFill>
        <a:blip r:embed="rId60"/>
        <a:stretch>
          <a:fillRect/>
        </a:stretch>
      </xdr:blipFill>
      <xdr:spPr>
        <a:xfrm>
          <a:off x="0" y="0"/>
          <a:ext cx="4960620" cy="36271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539115</xdr:colOff>
      <xdr:row>2</xdr:row>
      <xdr:rowOff>59055</xdr:rowOff>
    </xdr:to>
    <xdr:pic>
      <xdr:nvPicPr>
        <xdr:cNvPr id="661" name="ID_0B56396D53574FD19541831066FC6CCC" descr="core_image_url__exec_download_4194738163"/>
        <xdr:cNvPicPr/>
      </xdr:nvPicPr>
      <xdr:blipFill>
        <a:blip r:embed="rId61"/>
        <a:stretch>
          <a:fillRect/>
        </a:stretch>
      </xdr:blipFill>
      <xdr:spPr>
        <a:xfrm>
          <a:off x="0" y="0"/>
          <a:ext cx="3609975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648970</xdr:colOff>
      <xdr:row>1</xdr:row>
      <xdr:rowOff>186690</xdr:rowOff>
    </xdr:to>
    <xdr:pic>
      <xdr:nvPicPr>
        <xdr:cNvPr id="340" name="ID_006A5009EE984BBB9C24BE1428B07C8A" descr="524"/>
        <xdr:cNvPicPr/>
      </xdr:nvPicPr>
      <xdr:blipFill>
        <a:blip r:embed="rId62"/>
        <a:srcRect/>
        <a:stretch>
          <a:fillRect/>
        </a:stretch>
      </xdr:blipFill>
      <xdr:spPr>
        <a:xfrm>
          <a:off x="1931035" y="50744120"/>
          <a:ext cx="648970" cy="400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537210</xdr:colOff>
      <xdr:row>1</xdr:row>
      <xdr:rowOff>205740</xdr:rowOff>
    </xdr:to>
    <xdr:pic>
      <xdr:nvPicPr>
        <xdr:cNvPr id="70" name="ID_CE3EB96083FE41178A094CC7714699D9" descr="core_image_url__exec_download_3190467071"/>
        <xdr:cNvPicPr/>
      </xdr:nvPicPr>
      <xdr:blipFill>
        <a:blip r:embed="rId63"/>
        <a:stretch>
          <a:fillRect/>
        </a:stretch>
      </xdr:blipFill>
      <xdr:spPr>
        <a:xfrm>
          <a:off x="0" y="0"/>
          <a:ext cx="130492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621030</xdr:colOff>
      <xdr:row>2</xdr:row>
      <xdr:rowOff>97155</xdr:rowOff>
    </xdr:to>
    <xdr:pic>
      <xdr:nvPicPr>
        <xdr:cNvPr id="436" name="ID_2514FB428AC94EFC9BB2386BC19B9156" descr="core_image_url__exec_download_3544259935"/>
        <xdr:cNvPicPr/>
      </xdr:nvPicPr>
      <xdr:blipFill>
        <a:blip r:embed="rId64"/>
        <a:stretch>
          <a:fillRect/>
        </a:stretch>
      </xdr:blipFill>
      <xdr:spPr>
        <a:xfrm>
          <a:off x="0" y="0"/>
          <a:ext cx="2924175" cy="523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375920</xdr:colOff>
      <xdr:row>1</xdr:row>
      <xdr:rowOff>71755</xdr:rowOff>
    </xdr:to>
    <xdr:pic>
      <xdr:nvPicPr>
        <xdr:cNvPr id="427" name="ID_3B852B731E3B45A5A31CB9840BADDEA5" descr="400"/>
        <xdr:cNvPicPr/>
      </xdr:nvPicPr>
      <xdr:blipFill>
        <a:blip r:embed="rId65"/>
        <a:srcRect/>
        <a:stretch>
          <a:fillRect/>
        </a:stretch>
      </xdr:blipFill>
      <xdr:spPr>
        <a:xfrm>
          <a:off x="2181225" y="32111950"/>
          <a:ext cx="375920" cy="2851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68580</xdr:colOff>
      <xdr:row>1</xdr:row>
      <xdr:rowOff>162560</xdr:rowOff>
    </xdr:to>
    <xdr:pic>
      <xdr:nvPicPr>
        <xdr:cNvPr id="82" name="ID_DFE6006AB6514DB1908176AA9B7FB9A8" descr="554"/>
        <xdr:cNvPicPr/>
      </xdr:nvPicPr>
      <xdr:blipFill>
        <a:blip r:embed="rId66"/>
        <a:srcRect/>
        <a:stretch>
          <a:fillRect/>
        </a:stretch>
      </xdr:blipFill>
      <xdr:spPr>
        <a:xfrm>
          <a:off x="1749425" y="14115415"/>
          <a:ext cx="836295" cy="375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441325</xdr:colOff>
      <xdr:row>1</xdr:row>
      <xdr:rowOff>176530</xdr:rowOff>
    </xdr:to>
    <xdr:pic>
      <xdr:nvPicPr>
        <xdr:cNvPr id="75" name="ID_398B48234CE64F83ADF6A7983146D355" descr="556"/>
        <xdr:cNvPicPr/>
      </xdr:nvPicPr>
      <xdr:blipFill>
        <a:blip r:embed="rId67"/>
        <a:srcRect/>
        <a:stretch>
          <a:fillRect/>
        </a:stretch>
      </xdr:blipFill>
      <xdr:spPr>
        <a:xfrm>
          <a:off x="2079625" y="13721715"/>
          <a:ext cx="441325" cy="3898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650240</xdr:colOff>
      <xdr:row>1</xdr:row>
      <xdr:rowOff>84455</xdr:rowOff>
    </xdr:to>
    <xdr:pic>
      <xdr:nvPicPr>
        <xdr:cNvPr id="73" name="ID_0A9A260D257243FD8D7EA1B313BD8836" descr="555"/>
        <xdr:cNvPicPr/>
      </xdr:nvPicPr>
      <xdr:blipFill>
        <a:blip r:embed="rId68"/>
        <a:srcRect/>
        <a:stretch>
          <a:fillRect/>
        </a:stretch>
      </xdr:blipFill>
      <xdr:spPr>
        <a:xfrm>
          <a:off x="1931670" y="13060680"/>
          <a:ext cx="650240" cy="2978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523875</xdr:colOff>
      <xdr:row>1</xdr:row>
      <xdr:rowOff>187325</xdr:rowOff>
    </xdr:to>
    <xdr:pic>
      <xdr:nvPicPr>
        <xdr:cNvPr id="370" name="ID_2961C7413625418AA5D97AA62CC8905A" descr="552"/>
        <xdr:cNvPicPr/>
      </xdr:nvPicPr>
      <xdr:blipFill>
        <a:blip r:embed="rId69"/>
        <a:srcRect/>
        <a:stretch>
          <a:fillRect/>
        </a:stretch>
      </xdr:blipFill>
      <xdr:spPr>
        <a:xfrm>
          <a:off x="1977390" y="12275820"/>
          <a:ext cx="523875" cy="4006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51435</xdr:colOff>
      <xdr:row>7</xdr:row>
      <xdr:rowOff>68580</xdr:rowOff>
    </xdr:to>
    <xdr:pic>
      <xdr:nvPicPr>
        <xdr:cNvPr id="574" name="ID_514DC0862FCB4BCB899D3FD80DDA13DC" descr="core_image_url__exec_download_1139936427"/>
        <xdr:cNvPicPr/>
      </xdr:nvPicPr>
      <xdr:blipFill>
        <a:blip r:embed="rId70"/>
        <a:stretch>
          <a:fillRect/>
        </a:stretch>
      </xdr:blipFill>
      <xdr:spPr>
        <a:xfrm>
          <a:off x="0" y="0"/>
          <a:ext cx="2354580" cy="1562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140970</xdr:colOff>
      <xdr:row>5</xdr:row>
      <xdr:rowOff>161925</xdr:rowOff>
    </xdr:to>
    <xdr:pic>
      <xdr:nvPicPr>
        <xdr:cNvPr id="45" name="ID_7C9F43217EED42AE9CF244CF23AB8A6C" descr="core_image_url__exec_download_436104821"/>
        <xdr:cNvPicPr/>
      </xdr:nvPicPr>
      <xdr:blipFill>
        <a:blip r:embed="rId71"/>
        <a:stretch>
          <a:fillRect/>
        </a:stretch>
      </xdr:blipFill>
      <xdr:spPr>
        <a:xfrm>
          <a:off x="0" y="0"/>
          <a:ext cx="1676400" cy="1228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534035</xdr:colOff>
      <xdr:row>3</xdr:row>
      <xdr:rowOff>121920</xdr:rowOff>
    </xdr:to>
    <xdr:pic>
      <xdr:nvPicPr>
        <xdr:cNvPr id="24" name="ID_B07B510706554B4EBDE20522498FF08D" descr="core_image_url__exec_download_1097114891"/>
        <xdr:cNvPicPr/>
      </xdr:nvPicPr>
      <xdr:blipFill>
        <a:blip r:embed="rId72"/>
        <a:stretch>
          <a:fillRect/>
        </a:stretch>
      </xdr:blipFill>
      <xdr:spPr>
        <a:xfrm>
          <a:off x="0" y="0"/>
          <a:ext cx="1301750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384810</xdr:colOff>
      <xdr:row>6</xdr:row>
      <xdr:rowOff>121920</xdr:rowOff>
    </xdr:to>
    <xdr:pic>
      <xdr:nvPicPr>
        <xdr:cNvPr id="14" name="ID_E36F8527103A4D30AC40977912080197" descr="core_image_url__exec_download_2202597540"/>
        <xdr:cNvPicPr/>
      </xdr:nvPicPr>
      <xdr:blipFill>
        <a:blip r:embed="rId73"/>
        <a:stretch>
          <a:fillRect/>
        </a:stretch>
      </xdr:blipFill>
      <xdr:spPr>
        <a:xfrm>
          <a:off x="0" y="0"/>
          <a:ext cx="1920240" cy="1402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661670</xdr:colOff>
      <xdr:row>1</xdr:row>
      <xdr:rowOff>53975</xdr:rowOff>
    </xdr:to>
    <xdr:pic>
      <xdr:nvPicPr>
        <xdr:cNvPr id="360" name="ID_7ABF5BD0E93248789CBFB55C1158DA88" descr="519"/>
        <xdr:cNvPicPr/>
      </xdr:nvPicPr>
      <xdr:blipFill>
        <a:blip r:embed="rId44"/>
        <a:srcRect/>
        <a:stretch>
          <a:fillRect/>
        </a:stretch>
      </xdr:blipFill>
      <xdr:spPr>
        <a:xfrm>
          <a:off x="1783715" y="53388260"/>
          <a:ext cx="661670" cy="2673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141605</xdr:colOff>
      <xdr:row>1</xdr:row>
      <xdr:rowOff>160020</xdr:rowOff>
    </xdr:to>
    <xdr:pic>
      <xdr:nvPicPr>
        <xdr:cNvPr id="394" name="ID_FB5974AD758F49E68E949DA18E208B8D" descr="570"/>
        <xdr:cNvPicPr/>
      </xdr:nvPicPr>
      <xdr:blipFill>
        <a:blip r:embed="rId74"/>
        <a:srcRect/>
        <a:stretch>
          <a:fillRect/>
        </a:stretch>
      </xdr:blipFill>
      <xdr:spPr>
        <a:xfrm>
          <a:off x="1803400" y="10677525"/>
          <a:ext cx="909320" cy="373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293370</xdr:colOff>
      <xdr:row>5</xdr:row>
      <xdr:rowOff>19050</xdr:rowOff>
    </xdr:to>
    <xdr:pic>
      <xdr:nvPicPr>
        <xdr:cNvPr id="48" name="ID_BBBC8B4164864CC184E46BE95D2B61AD" descr="core_image_url__exec_download_2266162363"/>
        <xdr:cNvPicPr/>
      </xdr:nvPicPr>
      <xdr:blipFill>
        <a:blip r:embed="rId75"/>
        <a:stretch>
          <a:fillRect/>
        </a:stretch>
      </xdr:blipFill>
      <xdr:spPr>
        <a:xfrm>
          <a:off x="0" y="0"/>
          <a:ext cx="182880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100965</xdr:colOff>
      <xdr:row>1</xdr:row>
      <xdr:rowOff>173355</xdr:rowOff>
    </xdr:to>
    <xdr:pic>
      <xdr:nvPicPr>
        <xdr:cNvPr id="32" name="ID_42D5DF370CCC42198A2141C645FD2CFF" descr="569"/>
        <xdr:cNvPicPr/>
      </xdr:nvPicPr>
      <xdr:blipFill>
        <a:blip r:embed="rId76"/>
        <a:srcRect/>
        <a:stretch>
          <a:fillRect/>
        </a:stretch>
      </xdr:blipFill>
      <xdr:spPr>
        <a:xfrm>
          <a:off x="2053590" y="9547860"/>
          <a:ext cx="868680" cy="3867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673100</xdr:colOff>
      <xdr:row>1</xdr:row>
      <xdr:rowOff>160655</xdr:rowOff>
    </xdr:to>
    <xdr:pic>
      <xdr:nvPicPr>
        <xdr:cNvPr id="371" name="ID_84D07420AF0A40B895488A5492D70A87" descr="57"/>
        <xdr:cNvPicPr/>
      </xdr:nvPicPr>
      <xdr:blipFill>
        <a:blip r:embed="rId77"/>
        <a:srcRect/>
        <a:stretch>
          <a:fillRect/>
        </a:stretch>
      </xdr:blipFill>
      <xdr:spPr>
        <a:xfrm>
          <a:off x="1988185" y="113310035"/>
          <a:ext cx="673100" cy="37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120015</xdr:colOff>
      <xdr:row>1</xdr:row>
      <xdr:rowOff>175895</xdr:rowOff>
    </xdr:to>
    <xdr:pic>
      <xdr:nvPicPr>
        <xdr:cNvPr id="23" name="ID_C0DB966C52D14D35AB421E1B9730BA8B" descr="568"/>
        <xdr:cNvPicPr/>
      </xdr:nvPicPr>
      <xdr:blipFill>
        <a:blip r:embed="rId78"/>
        <a:srcRect/>
        <a:stretch>
          <a:fillRect/>
        </a:stretch>
      </xdr:blipFill>
      <xdr:spPr>
        <a:xfrm>
          <a:off x="1910080" y="8808720"/>
          <a:ext cx="887730" cy="389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715645</xdr:colOff>
      <xdr:row>1</xdr:row>
      <xdr:rowOff>184150</xdr:rowOff>
    </xdr:to>
    <xdr:pic>
      <xdr:nvPicPr>
        <xdr:cNvPr id="296" name="ID_FCAC800B20CD421A93879EAD6F7C0A9E" descr="56"/>
        <xdr:cNvPicPr/>
      </xdr:nvPicPr>
      <xdr:blipFill>
        <a:blip r:embed="rId77"/>
        <a:srcRect/>
        <a:stretch>
          <a:fillRect/>
        </a:stretch>
      </xdr:blipFill>
      <xdr:spPr>
        <a:xfrm>
          <a:off x="2068830" y="112874425"/>
          <a:ext cx="715645" cy="3975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133985</xdr:colOff>
      <xdr:row>1</xdr:row>
      <xdr:rowOff>139700</xdr:rowOff>
    </xdr:to>
    <xdr:pic>
      <xdr:nvPicPr>
        <xdr:cNvPr id="645" name="ID_F60DF37D92B34D3699642DC9E7C766FE" descr="101"/>
        <xdr:cNvPicPr/>
      </xdr:nvPicPr>
      <xdr:blipFill>
        <a:blip r:embed="rId79"/>
        <a:srcRect/>
        <a:stretch>
          <a:fillRect/>
        </a:stretch>
      </xdr:blipFill>
      <xdr:spPr>
        <a:xfrm>
          <a:off x="1750695" y="244612795"/>
          <a:ext cx="901700" cy="35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648970</xdr:colOff>
      <xdr:row>1</xdr:row>
      <xdr:rowOff>199390</xdr:rowOff>
    </xdr:to>
    <xdr:pic>
      <xdr:nvPicPr>
        <xdr:cNvPr id="322" name="ID_4050F3DC4A39481FA2AE323DC85E931E" descr="150"/>
        <xdr:cNvPicPr/>
      </xdr:nvPicPr>
      <xdr:blipFill>
        <a:blip r:embed="rId80"/>
        <a:srcRect/>
        <a:stretch>
          <a:fillRect/>
        </a:stretch>
      </xdr:blipFill>
      <xdr:spPr>
        <a:xfrm>
          <a:off x="1765935" y="132212715"/>
          <a:ext cx="648970" cy="4127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703580</xdr:colOff>
      <xdr:row>1</xdr:row>
      <xdr:rowOff>153670</xdr:rowOff>
    </xdr:to>
    <xdr:pic>
      <xdr:nvPicPr>
        <xdr:cNvPr id="643" name="ID_887B7DB677E04A8CA4BE63DF78BB380D" descr="469"/>
        <xdr:cNvPicPr/>
      </xdr:nvPicPr>
      <xdr:blipFill>
        <a:blip r:embed="rId81"/>
        <a:srcRect/>
        <a:stretch>
          <a:fillRect/>
        </a:stretch>
      </xdr:blipFill>
      <xdr:spPr>
        <a:xfrm>
          <a:off x="1746250" y="243840000"/>
          <a:ext cx="703580" cy="3670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434340</xdr:colOff>
      <xdr:row>1</xdr:row>
      <xdr:rowOff>156845</xdr:rowOff>
    </xdr:to>
    <xdr:pic>
      <xdr:nvPicPr>
        <xdr:cNvPr id="641" name="ID_870B10E1C2E44BC49D51DB1CF0D5DEEA" descr="74"/>
        <xdr:cNvPicPr/>
      </xdr:nvPicPr>
      <xdr:blipFill>
        <a:blip r:embed="rId47"/>
        <a:srcRect/>
        <a:stretch>
          <a:fillRect/>
        </a:stretch>
      </xdr:blipFill>
      <xdr:spPr>
        <a:xfrm>
          <a:off x="1746250" y="242697000"/>
          <a:ext cx="434340" cy="37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434340</xdr:colOff>
      <xdr:row>1</xdr:row>
      <xdr:rowOff>156845</xdr:rowOff>
    </xdr:to>
    <xdr:pic>
      <xdr:nvPicPr>
        <xdr:cNvPr id="640" name="ID_E1204B6F4E854735ACC0757082A2B36C" descr="74"/>
        <xdr:cNvPicPr/>
      </xdr:nvPicPr>
      <xdr:blipFill>
        <a:blip r:embed="rId47"/>
        <a:srcRect/>
        <a:stretch>
          <a:fillRect/>
        </a:stretch>
      </xdr:blipFill>
      <xdr:spPr>
        <a:xfrm>
          <a:off x="1761490" y="242322350"/>
          <a:ext cx="434340" cy="37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497840</xdr:colOff>
      <xdr:row>1</xdr:row>
      <xdr:rowOff>128905</xdr:rowOff>
    </xdr:to>
    <xdr:pic>
      <xdr:nvPicPr>
        <xdr:cNvPr id="564" name="ID_FA745464C37C446A9D32D9D89D9E953F" descr="158"/>
        <xdr:cNvPicPr/>
      </xdr:nvPicPr>
      <xdr:blipFill>
        <a:blip r:embed="rId82"/>
        <a:srcRect/>
        <a:stretch>
          <a:fillRect/>
        </a:stretch>
      </xdr:blipFill>
      <xdr:spPr>
        <a:xfrm>
          <a:off x="1796415" y="204240130"/>
          <a:ext cx="497840" cy="342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438785</xdr:colOff>
      <xdr:row>4</xdr:row>
      <xdr:rowOff>105410</xdr:rowOff>
    </xdr:to>
    <xdr:pic>
      <xdr:nvPicPr>
        <xdr:cNvPr id="609" name="ID_41D8E197D70A4F929FBED9AD5EFE7FC6" descr="core_image_url__exec_download_1972121862"/>
        <xdr:cNvPicPr/>
      </xdr:nvPicPr>
      <xdr:blipFill>
        <a:blip r:embed="rId83"/>
        <a:stretch>
          <a:fillRect/>
        </a:stretch>
      </xdr:blipFill>
      <xdr:spPr>
        <a:xfrm>
          <a:off x="0" y="0"/>
          <a:ext cx="1206500" cy="95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118110</xdr:colOff>
      <xdr:row>2</xdr:row>
      <xdr:rowOff>173355</xdr:rowOff>
    </xdr:to>
    <xdr:pic>
      <xdr:nvPicPr>
        <xdr:cNvPr id="248" name="ID_2F64F7943D6B4A65A225530714A5E275" descr="core_image_url__exec_download_2261174884"/>
        <xdr:cNvPicPr/>
      </xdr:nvPicPr>
      <xdr:blipFill>
        <a:blip r:embed="rId84"/>
        <a:stretch>
          <a:fillRect/>
        </a:stretch>
      </xdr:blipFill>
      <xdr:spPr>
        <a:xfrm>
          <a:off x="0" y="0"/>
          <a:ext cx="885825" cy="600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434340</xdr:colOff>
      <xdr:row>1</xdr:row>
      <xdr:rowOff>156845</xdr:rowOff>
    </xdr:to>
    <xdr:pic>
      <xdr:nvPicPr>
        <xdr:cNvPr id="470" name="ID_EF77C370BCB542E0B2041D8BE95ADCCB" descr="74"/>
        <xdr:cNvPicPr/>
      </xdr:nvPicPr>
      <xdr:blipFill>
        <a:blip r:embed="rId47"/>
        <a:srcRect/>
        <a:stretch>
          <a:fillRect/>
        </a:stretch>
      </xdr:blipFill>
      <xdr:spPr>
        <a:xfrm>
          <a:off x="1961515" y="43111420"/>
          <a:ext cx="434340" cy="37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729615</xdr:colOff>
      <xdr:row>1</xdr:row>
      <xdr:rowOff>156210</xdr:rowOff>
    </xdr:to>
    <xdr:pic>
      <xdr:nvPicPr>
        <xdr:cNvPr id="636" name="ID_A918CB83236B4970AF2C8D5C4BDF0E65" descr="98"/>
        <xdr:cNvPicPr/>
      </xdr:nvPicPr>
      <xdr:blipFill>
        <a:blip r:embed="rId85"/>
        <a:srcRect/>
        <a:stretch>
          <a:fillRect/>
        </a:stretch>
      </xdr:blipFill>
      <xdr:spPr>
        <a:xfrm>
          <a:off x="1762760" y="240420525"/>
          <a:ext cx="729615" cy="3695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353695</xdr:colOff>
      <xdr:row>1</xdr:row>
      <xdr:rowOff>127635</xdr:rowOff>
    </xdr:to>
    <xdr:pic>
      <xdr:nvPicPr>
        <xdr:cNvPr id="198" name="ID_F6525035E44C4AD8AC39941FF1F18E48" descr="526"/>
        <xdr:cNvPicPr/>
      </xdr:nvPicPr>
      <xdr:blipFill>
        <a:blip r:embed="rId86"/>
        <a:srcRect/>
        <a:stretch>
          <a:fillRect/>
        </a:stretch>
      </xdr:blipFill>
      <xdr:spPr>
        <a:xfrm>
          <a:off x="1804670" y="45347255"/>
          <a:ext cx="353695" cy="3409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466725</xdr:colOff>
      <xdr:row>1</xdr:row>
      <xdr:rowOff>139700</xdr:rowOff>
    </xdr:to>
    <xdr:pic>
      <xdr:nvPicPr>
        <xdr:cNvPr id="633" name="ID_3295D6C856AE4E4189F95834A49EFE1F" descr="96"/>
        <xdr:cNvPicPr/>
      </xdr:nvPicPr>
      <xdr:blipFill>
        <a:blip r:embed="rId87"/>
        <a:srcRect/>
        <a:stretch>
          <a:fillRect/>
        </a:stretch>
      </xdr:blipFill>
      <xdr:spPr>
        <a:xfrm>
          <a:off x="1753235" y="239658525"/>
          <a:ext cx="466725" cy="35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289560</xdr:colOff>
      <xdr:row>1</xdr:row>
      <xdr:rowOff>76200</xdr:rowOff>
    </xdr:to>
    <xdr:pic>
      <xdr:nvPicPr>
        <xdr:cNvPr id="111" name="ID_1C8EBEA7EAAF451895F95B1888834890" descr="core_image_url__exec_download_1392339292"/>
        <xdr:cNvPicPr/>
      </xdr:nvPicPr>
      <xdr:blipFill>
        <a:blip r:embed="rId88"/>
        <a:stretch>
          <a:fillRect/>
        </a:stretch>
      </xdr:blipFill>
      <xdr:spPr>
        <a:xfrm>
          <a:off x="0" y="0"/>
          <a:ext cx="289560" cy="289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465455</xdr:colOff>
      <xdr:row>1</xdr:row>
      <xdr:rowOff>156210</xdr:rowOff>
    </xdr:to>
    <xdr:pic>
      <xdr:nvPicPr>
        <xdr:cNvPr id="632" name="ID_3BB6865A153841C7A6CCDCD8E939E2E9" descr="94"/>
        <xdr:cNvPicPr/>
      </xdr:nvPicPr>
      <xdr:blipFill>
        <a:blip r:embed="rId89"/>
        <a:srcRect/>
        <a:stretch>
          <a:fillRect/>
        </a:stretch>
      </xdr:blipFill>
      <xdr:spPr>
        <a:xfrm>
          <a:off x="1751330" y="239272445"/>
          <a:ext cx="465455" cy="3695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594360</xdr:colOff>
      <xdr:row>1</xdr:row>
      <xdr:rowOff>22860</xdr:rowOff>
    </xdr:to>
    <xdr:pic>
      <xdr:nvPicPr>
        <xdr:cNvPr id="78" name="ID_FDD88BA72A7D419791D861152DFC7EC9" descr="core_image_url__exec_download_2041451271"/>
        <xdr:cNvPicPr/>
      </xdr:nvPicPr>
      <xdr:blipFill>
        <a:blip r:embed="rId90"/>
        <a:stretch>
          <a:fillRect/>
        </a:stretch>
      </xdr:blipFill>
      <xdr:spPr>
        <a:xfrm>
          <a:off x="0" y="0"/>
          <a:ext cx="594360" cy="2362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553085</xdr:colOff>
      <xdr:row>1</xdr:row>
      <xdr:rowOff>6350</xdr:rowOff>
    </xdr:to>
    <xdr:pic>
      <xdr:nvPicPr>
        <xdr:cNvPr id="605" name="ID_6F2A3B975E67434B85056C1278EBBD51" descr="222"/>
        <xdr:cNvPicPr/>
      </xdr:nvPicPr>
      <xdr:blipFill>
        <a:blip r:embed="rId91"/>
        <a:srcRect/>
        <a:stretch>
          <a:fillRect/>
        </a:stretch>
      </xdr:blipFill>
      <xdr:spPr>
        <a:xfrm>
          <a:off x="1946910" y="228706680"/>
          <a:ext cx="1320800" cy="2197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591185</xdr:colOff>
      <xdr:row>1</xdr:row>
      <xdr:rowOff>115570</xdr:rowOff>
    </xdr:to>
    <xdr:pic>
      <xdr:nvPicPr>
        <xdr:cNvPr id="399" name="ID_C8B2DF8604A94419830F68833817C959" descr="342"/>
        <xdr:cNvPicPr/>
      </xdr:nvPicPr>
      <xdr:blipFill>
        <a:blip r:embed="rId92"/>
        <a:srcRect/>
        <a:stretch>
          <a:fillRect/>
        </a:stretch>
      </xdr:blipFill>
      <xdr:spPr>
        <a:xfrm>
          <a:off x="1746250" y="92583000"/>
          <a:ext cx="591185" cy="3289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540385</xdr:colOff>
      <xdr:row>1</xdr:row>
      <xdr:rowOff>105410</xdr:rowOff>
    </xdr:to>
    <xdr:pic>
      <xdr:nvPicPr>
        <xdr:cNvPr id="318" name="ID_6DB9E2DAADA64D278A4132A441975891" descr="259"/>
        <xdr:cNvPicPr/>
      </xdr:nvPicPr>
      <xdr:blipFill>
        <a:blip r:embed="rId93"/>
        <a:srcRect/>
        <a:stretch>
          <a:fillRect/>
        </a:stretch>
      </xdr:blipFill>
      <xdr:spPr>
        <a:xfrm>
          <a:off x="1774190" y="128416685"/>
          <a:ext cx="540385" cy="3187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212090</xdr:colOff>
      <xdr:row>1</xdr:row>
      <xdr:rowOff>27940</xdr:rowOff>
    </xdr:to>
    <xdr:pic>
      <xdr:nvPicPr>
        <xdr:cNvPr id="583" name="ID_66515160D9D44E85B321CCC3E60F2A27" descr="4"/>
        <xdr:cNvPicPr/>
      </xdr:nvPicPr>
      <xdr:blipFill>
        <a:blip r:embed="rId94"/>
        <a:srcRect/>
        <a:stretch>
          <a:fillRect/>
        </a:stretch>
      </xdr:blipFill>
      <xdr:spPr>
        <a:xfrm>
          <a:off x="1875155" y="214639525"/>
          <a:ext cx="979805" cy="241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187325</xdr:colOff>
      <xdr:row>1</xdr:row>
      <xdr:rowOff>160020</xdr:rowOff>
    </xdr:to>
    <xdr:pic>
      <xdr:nvPicPr>
        <xdr:cNvPr id="581" name="ID_DB7C2F700CF1408FB3815AB37E022DBD" descr="0"/>
        <xdr:cNvPicPr/>
      </xdr:nvPicPr>
      <xdr:blipFill>
        <a:blip r:embed="rId95"/>
        <a:srcRect/>
        <a:stretch>
          <a:fillRect/>
        </a:stretch>
      </xdr:blipFill>
      <xdr:spPr>
        <a:xfrm>
          <a:off x="2006600" y="213874985"/>
          <a:ext cx="955040" cy="373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670560</xdr:colOff>
      <xdr:row>4</xdr:row>
      <xdr:rowOff>127635</xdr:rowOff>
    </xdr:to>
    <xdr:pic>
      <xdr:nvPicPr>
        <xdr:cNvPr id="20" name="ID_53E462E1A6234D0F98AD82576FF99D68" descr="core_image_url__exec_download_1504005084"/>
        <xdr:cNvPicPr/>
      </xdr:nvPicPr>
      <xdr:blipFill>
        <a:blip r:embed="rId96"/>
        <a:stretch>
          <a:fillRect/>
        </a:stretch>
      </xdr:blipFill>
      <xdr:spPr>
        <a:xfrm>
          <a:off x="0" y="0"/>
          <a:ext cx="1438275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498475</xdr:colOff>
      <xdr:row>1</xdr:row>
      <xdr:rowOff>150495</xdr:rowOff>
    </xdr:to>
    <xdr:pic>
      <xdr:nvPicPr>
        <xdr:cNvPr id="496" name="ID_F666DAFF506440FFA6EEA0F3D59ADF02" descr="103"/>
        <xdr:cNvPicPr/>
      </xdr:nvPicPr>
      <xdr:blipFill>
        <a:blip r:embed="rId97"/>
        <a:srcRect/>
        <a:stretch>
          <a:fillRect/>
        </a:stretch>
      </xdr:blipFill>
      <xdr:spPr>
        <a:xfrm>
          <a:off x="1889760" y="172331380"/>
          <a:ext cx="498475" cy="3638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389890</xdr:colOff>
      <xdr:row>1</xdr:row>
      <xdr:rowOff>155575</xdr:rowOff>
    </xdr:to>
    <xdr:pic>
      <xdr:nvPicPr>
        <xdr:cNvPr id="249" name="ID_E33A656B406B404C8861075F837EFE5F" descr="269"/>
        <xdr:cNvPicPr/>
      </xdr:nvPicPr>
      <xdr:blipFill>
        <a:blip r:embed="rId98"/>
        <a:srcRect/>
        <a:stretch>
          <a:fillRect/>
        </a:stretch>
      </xdr:blipFill>
      <xdr:spPr>
        <a:xfrm>
          <a:off x="1793875" y="86502875"/>
          <a:ext cx="389890" cy="3689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51435</xdr:colOff>
      <xdr:row>1</xdr:row>
      <xdr:rowOff>146685</xdr:rowOff>
    </xdr:to>
    <xdr:pic>
      <xdr:nvPicPr>
        <xdr:cNvPr id="494" name="ID_5182F4C0989C4C13A79A8FDDEB1A0910" descr="482"/>
        <xdr:cNvPicPr/>
      </xdr:nvPicPr>
      <xdr:blipFill>
        <a:blip r:embed="rId99"/>
        <a:srcRect/>
        <a:stretch>
          <a:fillRect/>
        </a:stretch>
      </xdr:blipFill>
      <xdr:spPr>
        <a:xfrm>
          <a:off x="1762760" y="171832270"/>
          <a:ext cx="819150" cy="3600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367665</xdr:colOff>
      <xdr:row>1</xdr:row>
      <xdr:rowOff>119380</xdr:rowOff>
    </xdr:to>
    <xdr:pic>
      <xdr:nvPicPr>
        <xdr:cNvPr id="493" name="ID_C98D788499544154B2C1E56CEB634EC5" descr="481"/>
        <xdr:cNvPicPr/>
      </xdr:nvPicPr>
      <xdr:blipFill>
        <a:blip r:embed="rId100"/>
        <a:srcRect/>
        <a:stretch>
          <a:fillRect/>
        </a:stretch>
      </xdr:blipFill>
      <xdr:spPr>
        <a:xfrm>
          <a:off x="1786890" y="171475400"/>
          <a:ext cx="367665" cy="3327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346075</xdr:colOff>
      <xdr:row>1</xdr:row>
      <xdr:rowOff>128270</xdr:rowOff>
    </xdr:to>
    <xdr:pic>
      <xdr:nvPicPr>
        <xdr:cNvPr id="491" name="ID_F23535ABA1EA436CB1FB44F46DDDF2BB" descr="462"/>
        <xdr:cNvPicPr/>
      </xdr:nvPicPr>
      <xdr:blipFill>
        <a:blip r:embed="rId101"/>
        <a:srcRect/>
        <a:stretch>
          <a:fillRect/>
        </a:stretch>
      </xdr:blipFill>
      <xdr:spPr>
        <a:xfrm>
          <a:off x="1786255" y="170701970"/>
          <a:ext cx="346075" cy="3416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689610</xdr:colOff>
      <xdr:row>3</xdr:row>
      <xdr:rowOff>140970</xdr:rowOff>
    </xdr:to>
    <xdr:pic>
      <xdr:nvPicPr>
        <xdr:cNvPr id="122" name="ID_737BB682C03E4F0E98D7C3C082F240EC" descr="core_image_url__exec_download_3149878528"/>
        <xdr:cNvPicPr/>
      </xdr:nvPicPr>
      <xdr:blipFill>
        <a:blip r:embed="rId102"/>
        <a:stretch>
          <a:fillRect/>
        </a:stretch>
      </xdr:blipFill>
      <xdr:spPr>
        <a:xfrm>
          <a:off x="0" y="0"/>
          <a:ext cx="1457325" cy="781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419735</xdr:colOff>
      <xdr:row>1</xdr:row>
      <xdr:rowOff>142240</xdr:rowOff>
    </xdr:to>
    <xdr:pic>
      <xdr:nvPicPr>
        <xdr:cNvPr id="489" name="ID_AA79C4E8C29F478C98E32B836C96272B" descr="441"/>
        <xdr:cNvPicPr/>
      </xdr:nvPicPr>
      <xdr:blipFill>
        <a:blip r:embed="rId103"/>
        <a:srcRect/>
        <a:stretch>
          <a:fillRect/>
        </a:stretch>
      </xdr:blipFill>
      <xdr:spPr>
        <a:xfrm>
          <a:off x="1746250" y="168402000"/>
          <a:ext cx="419735" cy="355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367030</xdr:colOff>
      <xdr:row>1</xdr:row>
      <xdr:rowOff>140970</xdr:rowOff>
    </xdr:to>
    <xdr:pic>
      <xdr:nvPicPr>
        <xdr:cNvPr id="487" name="ID_A04C6572E938461F907209277A661F68" descr="439"/>
        <xdr:cNvPicPr/>
      </xdr:nvPicPr>
      <xdr:blipFill>
        <a:blip r:embed="rId104"/>
        <a:srcRect/>
        <a:stretch>
          <a:fillRect/>
        </a:stretch>
      </xdr:blipFill>
      <xdr:spPr>
        <a:xfrm>
          <a:off x="1746250" y="167640000"/>
          <a:ext cx="367030" cy="3543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155575</xdr:colOff>
      <xdr:row>1</xdr:row>
      <xdr:rowOff>72390</xdr:rowOff>
    </xdr:to>
    <xdr:pic>
      <xdr:nvPicPr>
        <xdr:cNvPr id="451" name="ID_25949B28CB8F44AE891A0F50F3691A9C" descr="231"/>
        <xdr:cNvPicPr/>
      </xdr:nvPicPr>
      <xdr:blipFill>
        <a:blip r:embed="rId105"/>
        <a:srcRect/>
        <a:stretch>
          <a:fillRect/>
        </a:stretch>
      </xdr:blipFill>
      <xdr:spPr>
        <a:xfrm>
          <a:off x="1786255" y="159301180"/>
          <a:ext cx="923290" cy="2857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589915</xdr:colOff>
      <xdr:row>2</xdr:row>
      <xdr:rowOff>51435</xdr:rowOff>
    </xdr:to>
    <xdr:pic>
      <xdr:nvPicPr>
        <xdr:cNvPr id="443" name="ID_BC265FC7EE504896A3CDB6D15821F590" descr="393"/>
        <xdr:cNvPicPr/>
      </xdr:nvPicPr>
      <xdr:blipFill>
        <a:blip r:embed="rId106"/>
        <a:srcRect/>
        <a:stretch>
          <a:fillRect/>
        </a:stretch>
      </xdr:blipFill>
      <xdr:spPr>
        <a:xfrm>
          <a:off x="1778635" y="158135320"/>
          <a:ext cx="589915" cy="4781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576580</xdr:colOff>
      <xdr:row>1</xdr:row>
      <xdr:rowOff>116205</xdr:rowOff>
    </xdr:to>
    <xdr:pic>
      <xdr:nvPicPr>
        <xdr:cNvPr id="400" name="ID_F75DC6533B0A436D9B148CA3803A7DDD" descr="104"/>
        <xdr:cNvPicPr/>
      </xdr:nvPicPr>
      <xdr:blipFill>
        <a:blip r:embed="rId107"/>
        <a:srcRect/>
        <a:stretch>
          <a:fillRect/>
        </a:stretch>
      </xdr:blipFill>
      <xdr:spPr>
        <a:xfrm>
          <a:off x="1855470" y="149760305"/>
          <a:ext cx="576580" cy="3295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541020</xdr:colOff>
      <xdr:row>8</xdr:row>
      <xdr:rowOff>45720</xdr:rowOff>
    </xdr:to>
    <xdr:pic>
      <xdr:nvPicPr>
        <xdr:cNvPr id="33" name="ID_35DC8CA855EA41569B223F33E8288EC6" descr="core_image_url__exec_download_1594331736"/>
        <xdr:cNvPicPr/>
      </xdr:nvPicPr>
      <xdr:blipFill>
        <a:blip r:embed="rId108"/>
        <a:stretch>
          <a:fillRect/>
        </a:stretch>
      </xdr:blipFill>
      <xdr:spPr>
        <a:xfrm>
          <a:off x="0" y="0"/>
          <a:ext cx="2076450" cy="1752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92075</xdr:colOff>
      <xdr:row>1</xdr:row>
      <xdr:rowOff>129540</xdr:rowOff>
    </xdr:to>
    <xdr:pic>
      <xdr:nvPicPr>
        <xdr:cNvPr id="246" name="ID_C52CB1FF373C45BF96FCB56186A5CA25" descr="169"/>
        <xdr:cNvPicPr/>
      </xdr:nvPicPr>
      <xdr:blipFill>
        <a:blip r:embed="rId109"/>
        <a:srcRect/>
        <a:stretch>
          <a:fillRect/>
        </a:stretch>
      </xdr:blipFill>
      <xdr:spPr>
        <a:xfrm>
          <a:off x="1818005" y="94511495"/>
          <a:ext cx="859790" cy="342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638175</xdr:colOff>
      <xdr:row>1</xdr:row>
      <xdr:rowOff>128270</xdr:rowOff>
    </xdr:to>
    <xdr:pic>
      <xdr:nvPicPr>
        <xdr:cNvPr id="301" name="ID_1676FAA30C754D5AA35C5921E491FF36" descr="464"/>
        <xdr:cNvPicPr/>
      </xdr:nvPicPr>
      <xdr:blipFill>
        <a:blip r:embed="rId110"/>
        <a:srcRect/>
        <a:stretch>
          <a:fillRect/>
        </a:stretch>
      </xdr:blipFill>
      <xdr:spPr>
        <a:xfrm>
          <a:off x="1771650" y="123469400"/>
          <a:ext cx="638175" cy="3416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546735</xdr:colOff>
      <xdr:row>1</xdr:row>
      <xdr:rowOff>173990</xdr:rowOff>
    </xdr:to>
    <xdr:pic>
      <xdr:nvPicPr>
        <xdr:cNvPr id="284" name="ID_D49E04C3C9F54EAC8EC2EEF8A173BDD6" descr="170"/>
        <xdr:cNvPicPr/>
      </xdr:nvPicPr>
      <xdr:blipFill>
        <a:blip r:embed="rId111"/>
        <a:srcRect/>
        <a:stretch>
          <a:fillRect/>
        </a:stretch>
      </xdr:blipFill>
      <xdr:spPr>
        <a:xfrm>
          <a:off x="1980565" y="109085380"/>
          <a:ext cx="546735" cy="387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594995</xdr:colOff>
      <xdr:row>2</xdr:row>
      <xdr:rowOff>49530</xdr:rowOff>
    </xdr:to>
    <xdr:pic>
      <xdr:nvPicPr>
        <xdr:cNvPr id="270" name="ID_BC1B37905B474ECCB2EDFFA1657D8558" descr="227"/>
        <xdr:cNvPicPr/>
      </xdr:nvPicPr>
      <xdr:blipFill>
        <a:blip r:embed="rId106"/>
        <a:srcRect/>
        <a:stretch>
          <a:fillRect/>
        </a:stretch>
      </xdr:blipFill>
      <xdr:spPr>
        <a:xfrm>
          <a:off x="1915795" y="102896670"/>
          <a:ext cx="594995" cy="476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533400</xdr:colOff>
      <xdr:row>1</xdr:row>
      <xdr:rowOff>160655</xdr:rowOff>
    </xdr:to>
    <xdr:pic>
      <xdr:nvPicPr>
        <xdr:cNvPr id="611" name="ID_5FA13EB0119847E0ADC1613A23CA66D0" descr="237"/>
        <xdr:cNvPicPr/>
      </xdr:nvPicPr>
      <xdr:blipFill>
        <a:blip r:embed="rId112"/>
        <a:srcRect/>
        <a:stretch>
          <a:fillRect/>
        </a:stretch>
      </xdr:blipFill>
      <xdr:spPr>
        <a:xfrm>
          <a:off x="1757045" y="230124000"/>
          <a:ext cx="533400" cy="37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146685</xdr:colOff>
      <xdr:row>3</xdr:row>
      <xdr:rowOff>83820</xdr:rowOff>
    </xdr:to>
    <xdr:pic>
      <xdr:nvPicPr>
        <xdr:cNvPr id="201" name="ID_539F5E5DEA0C48B7A2B6D490C86C1606" descr="core_image_url__exec_download_3756592489"/>
        <xdr:cNvPicPr/>
      </xdr:nvPicPr>
      <xdr:blipFill>
        <a:blip r:embed="rId113"/>
        <a:stretch>
          <a:fillRect/>
        </a:stretch>
      </xdr:blipFill>
      <xdr:spPr>
        <a:xfrm>
          <a:off x="0" y="0"/>
          <a:ext cx="914400" cy="723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716280</xdr:colOff>
      <xdr:row>1</xdr:row>
      <xdr:rowOff>4445</xdr:rowOff>
    </xdr:to>
    <xdr:pic>
      <xdr:nvPicPr>
        <xdr:cNvPr id="466" name="ID_A954BB044FD54F1081E121C938FF1D98" descr="544"/>
        <xdr:cNvPicPr/>
      </xdr:nvPicPr>
      <xdr:blipFill>
        <a:blip r:embed="rId114"/>
        <a:srcRect/>
        <a:stretch>
          <a:fillRect/>
        </a:stretch>
      </xdr:blipFill>
      <xdr:spPr>
        <a:xfrm>
          <a:off x="1799590" y="162429825"/>
          <a:ext cx="716280" cy="2178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494665</xdr:colOff>
      <xdr:row>1</xdr:row>
      <xdr:rowOff>1270</xdr:rowOff>
    </xdr:to>
    <xdr:pic>
      <xdr:nvPicPr>
        <xdr:cNvPr id="498" name="ID_2C834C64567445BEBBFBAAA53287FAE5" descr="442"/>
        <xdr:cNvPicPr/>
      </xdr:nvPicPr>
      <xdr:blipFill>
        <a:blip r:embed="rId115"/>
        <a:srcRect/>
        <a:stretch>
          <a:fillRect/>
        </a:stretch>
      </xdr:blipFill>
      <xdr:spPr>
        <a:xfrm>
          <a:off x="1760855" y="173059725"/>
          <a:ext cx="1262380" cy="2146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135255</xdr:colOff>
      <xdr:row>5</xdr:row>
      <xdr:rowOff>95250</xdr:rowOff>
    </xdr:to>
    <xdr:pic>
      <xdr:nvPicPr>
        <xdr:cNvPr id="5" name="ID_9E1A42111E8D4115996D7BA8DDD03F58" descr="core_image_url__exec_download_1950975961"/>
        <xdr:cNvPicPr/>
      </xdr:nvPicPr>
      <xdr:blipFill>
        <a:blip r:embed="rId116"/>
        <a:stretch>
          <a:fillRect/>
        </a:stretch>
      </xdr:blipFill>
      <xdr:spPr>
        <a:xfrm>
          <a:off x="0" y="0"/>
          <a:ext cx="2438400" cy="1162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492760</xdr:colOff>
      <xdr:row>2</xdr:row>
      <xdr:rowOff>89535</xdr:rowOff>
    </xdr:to>
    <xdr:pic>
      <xdr:nvPicPr>
        <xdr:cNvPr id="630" name="ID_D4C78891BC6F47FE8EBFCBE246CE5D0A" descr="362"/>
        <xdr:cNvPicPr/>
      </xdr:nvPicPr>
      <xdr:blipFill>
        <a:blip r:embed="rId117"/>
        <a:srcRect/>
        <a:stretch>
          <a:fillRect/>
        </a:stretch>
      </xdr:blipFill>
      <xdr:spPr>
        <a:xfrm>
          <a:off x="2152650" y="238298355"/>
          <a:ext cx="492760" cy="516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294640</xdr:colOff>
      <xdr:row>1</xdr:row>
      <xdr:rowOff>156845</xdr:rowOff>
    </xdr:to>
    <xdr:pic>
      <xdr:nvPicPr>
        <xdr:cNvPr id="628" name="ID_23038F479EE34ED7B3C6B8308D1F6E0E" descr="347"/>
        <xdr:cNvPicPr/>
      </xdr:nvPicPr>
      <xdr:blipFill>
        <a:blip r:embed="rId118"/>
        <a:srcRect/>
        <a:stretch>
          <a:fillRect/>
        </a:stretch>
      </xdr:blipFill>
      <xdr:spPr>
        <a:xfrm>
          <a:off x="1746250" y="237744000"/>
          <a:ext cx="294640" cy="37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50800</xdr:colOff>
      <xdr:row>1</xdr:row>
      <xdr:rowOff>140335</xdr:rowOff>
    </xdr:to>
    <xdr:pic>
      <xdr:nvPicPr>
        <xdr:cNvPr id="610" name="ID_C3E1333CFFB84FE8BA10B523CBABC1A6" descr="236"/>
        <xdr:cNvPicPr/>
      </xdr:nvPicPr>
      <xdr:blipFill>
        <a:blip r:embed="rId119"/>
        <a:srcRect/>
        <a:stretch>
          <a:fillRect/>
        </a:stretch>
      </xdr:blipFill>
      <xdr:spPr>
        <a:xfrm>
          <a:off x="1927225" y="229866190"/>
          <a:ext cx="818515" cy="3536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339725</xdr:colOff>
      <xdr:row>1</xdr:row>
      <xdr:rowOff>144780</xdr:rowOff>
    </xdr:to>
    <xdr:pic>
      <xdr:nvPicPr>
        <xdr:cNvPr id="626" name="ID_D8F7147F03774C4D911512FE728ED639" descr="core_image_url__exec_download_590677720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2157730" y="237379510"/>
          <a:ext cx="339725" cy="3581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498475</xdr:colOff>
      <xdr:row>1</xdr:row>
      <xdr:rowOff>174625</xdr:rowOff>
    </xdr:to>
    <xdr:pic>
      <xdr:nvPicPr>
        <xdr:cNvPr id="533" name="ID_872CBB0D67A04704A30A2A8407C21553" descr="386"/>
        <xdr:cNvPicPr/>
      </xdr:nvPicPr>
      <xdr:blipFill>
        <a:blip r:embed="rId121"/>
        <a:srcRect/>
        <a:stretch>
          <a:fillRect/>
        </a:stretch>
      </xdr:blipFill>
      <xdr:spPr>
        <a:xfrm>
          <a:off x="1871345" y="189813565"/>
          <a:ext cx="498475" cy="3879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525145</xdr:colOff>
      <xdr:row>1</xdr:row>
      <xdr:rowOff>150495</xdr:rowOff>
    </xdr:to>
    <xdr:pic>
      <xdr:nvPicPr>
        <xdr:cNvPr id="499" name="ID_54F0520EA7C34C83888B27445117E0B8" descr="443"/>
        <xdr:cNvPicPr/>
      </xdr:nvPicPr>
      <xdr:blipFill>
        <a:blip r:embed="rId122"/>
        <a:srcRect/>
        <a:stretch>
          <a:fillRect/>
        </a:stretch>
      </xdr:blipFill>
      <xdr:spPr>
        <a:xfrm>
          <a:off x="1799590" y="173355000"/>
          <a:ext cx="525145" cy="3638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420370</xdr:colOff>
      <xdr:row>1</xdr:row>
      <xdr:rowOff>123190</xdr:rowOff>
    </xdr:to>
    <xdr:pic>
      <xdr:nvPicPr>
        <xdr:cNvPr id="449" name="ID_BE5BC7F3AF5F4153BAD8B60F96F33E80" descr="230"/>
        <xdr:cNvPicPr/>
      </xdr:nvPicPr>
      <xdr:blipFill>
        <a:blip r:embed="rId123"/>
        <a:srcRect/>
        <a:stretch>
          <a:fillRect/>
        </a:stretch>
      </xdr:blipFill>
      <xdr:spPr>
        <a:xfrm>
          <a:off x="1807210" y="158897955"/>
          <a:ext cx="420370" cy="336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334010</xdr:colOff>
      <xdr:row>1</xdr:row>
      <xdr:rowOff>135890</xdr:rowOff>
    </xdr:to>
    <xdr:pic>
      <xdr:nvPicPr>
        <xdr:cNvPr id="258" name="ID_DA60608827B84E148E0E2745E5439712" descr="513"/>
        <xdr:cNvPicPr/>
      </xdr:nvPicPr>
      <xdr:blipFill>
        <a:blip r:embed="rId124"/>
        <a:srcRect/>
        <a:stretch>
          <a:fillRect/>
        </a:stretch>
      </xdr:blipFill>
      <xdr:spPr>
        <a:xfrm>
          <a:off x="1776095" y="99465130"/>
          <a:ext cx="334010" cy="349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117475</xdr:colOff>
      <xdr:row>1</xdr:row>
      <xdr:rowOff>149225</xdr:rowOff>
    </xdr:to>
    <xdr:pic>
      <xdr:nvPicPr>
        <xdr:cNvPr id="622" name="ID_CC60D81FE1674021A93F8E10844962A7" descr="13"/>
        <xdr:cNvPicPr/>
      </xdr:nvPicPr>
      <xdr:blipFill>
        <a:blip r:embed="rId125"/>
        <a:srcRect/>
        <a:stretch>
          <a:fillRect/>
        </a:stretch>
      </xdr:blipFill>
      <xdr:spPr>
        <a:xfrm>
          <a:off x="1750060" y="234707430"/>
          <a:ext cx="885190" cy="3625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354330</xdr:colOff>
      <xdr:row>1</xdr:row>
      <xdr:rowOff>121920</xdr:rowOff>
    </xdr:to>
    <xdr:pic>
      <xdr:nvPicPr>
        <xdr:cNvPr id="476" name="ID_FB676958E718414CB71D151A20013BFC" descr="64"/>
        <xdr:cNvPicPr/>
      </xdr:nvPicPr>
      <xdr:blipFill>
        <a:blip r:embed="rId126"/>
        <a:srcRect/>
        <a:stretch>
          <a:fillRect/>
        </a:stretch>
      </xdr:blipFill>
      <xdr:spPr>
        <a:xfrm>
          <a:off x="1793240" y="164612955"/>
          <a:ext cx="354330" cy="335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69215</xdr:colOff>
      <xdr:row>1</xdr:row>
      <xdr:rowOff>147320</xdr:rowOff>
    </xdr:to>
    <xdr:pic>
      <xdr:nvPicPr>
        <xdr:cNvPr id="620" name="ID_334D1D9BA354492D8F22052211C62BF1" descr="12"/>
        <xdr:cNvPicPr/>
      </xdr:nvPicPr>
      <xdr:blipFill>
        <a:blip r:embed="rId127"/>
        <a:srcRect/>
        <a:stretch>
          <a:fillRect/>
        </a:stretch>
      </xdr:blipFill>
      <xdr:spPr>
        <a:xfrm>
          <a:off x="1747520" y="233934000"/>
          <a:ext cx="836930" cy="360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576580</xdr:colOff>
      <xdr:row>1</xdr:row>
      <xdr:rowOff>86995</xdr:rowOff>
    </xdr:to>
    <xdr:pic>
      <xdr:nvPicPr>
        <xdr:cNvPr id="463" name="ID_17CAB174CC774A64BD28EF58AC907A2D" descr="143"/>
        <xdr:cNvPicPr/>
      </xdr:nvPicPr>
      <xdr:blipFill>
        <a:blip r:embed="rId128"/>
        <a:srcRect/>
        <a:stretch>
          <a:fillRect/>
        </a:stretch>
      </xdr:blipFill>
      <xdr:spPr>
        <a:xfrm>
          <a:off x="1781810" y="161594800"/>
          <a:ext cx="576580" cy="3003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279400</xdr:colOff>
      <xdr:row>1</xdr:row>
      <xdr:rowOff>107950</xdr:rowOff>
    </xdr:to>
    <xdr:pic>
      <xdr:nvPicPr>
        <xdr:cNvPr id="619" name="ID_203891B22F5040838E5A1ADB8EFA70E1" descr="11"/>
        <xdr:cNvPicPr/>
      </xdr:nvPicPr>
      <xdr:blipFill>
        <a:blip r:embed="rId129"/>
        <a:srcRect/>
        <a:stretch>
          <a:fillRect/>
        </a:stretch>
      </xdr:blipFill>
      <xdr:spPr>
        <a:xfrm>
          <a:off x="1760220" y="233625390"/>
          <a:ext cx="1047115" cy="3213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15</xdr:row>
      <xdr:rowOff>57150</xdr:rowOff>
    </xdr:to>
    <xdr:pic>
      <xdr:nvPicPr>
        <xdr:cNvPr id="673" name="ID_1F146D200D484DE3BB9FBA7C0327FDB1" descr="core_image_url__exec_download_3624795866"/>
        <xdr:cNvPicPr/>
      </xdr:nvPicPr>
      <xdr:blipFill>
        <a:blip r:embed="rId58"/>
        <a:stretch>
          <a:fillRect/>
        </a:stretch>
      </xdr:blipFill>
      <xdr:spPr>
        <a:xfrm>
          <a:off x="0" y="0"/>
          <a:ext cx="5105400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87630</xdr:colOff>
      <xdr:row>1</xdr:row>
      <xdr:rowOff>59690</xdr:rowOff>
    </xdr:to>
    <xdr:pic>
      <xdr:nvPicPr>
        <xdr:cNvPr id="618" name="ID_D34D9A578D9F486E9C4D8C84904E8ECF" descr="10"/>
        <xdr:cNvPicPr/>
      </xdr:nvPicPr>
      <xdr:blipFill>
        <a:blip r:embed="rId130"/>
        <a:srcRect/>
        <a:stretch>
          <a:fillRect/>
        </a:stretch>
      </xdr:blipFill>
      <xdr:spPr>
        <a:xfrm>
          <a:off x="1747520" y="233182160"/>
          <a:ext cx="855345" cy="273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655320</xdr:colOff>
      <xdr:row>1</xdr:row>
      <xdr:rowOff>114300</xdr:rowOff>
    </xdr:to>
    <xdr:pic>
      <xdr:nvPicPr>
        <xdr:cNvPr id="616" name="ID_7AA2D3AAB4D54E9B9A755E0A29C1447C" descr="6"/>
        <xdr:cNvPicPr/>
      </xdr:nvPicPr>
      <xdr:blipFill>
        <a:blip r:embed="rId131"/>
        <a:srcRect/>
        <a:stretch>
          <a:fillRect/>
        </a:stretch>
      </xdr:blipFill>
      <xdr:spPr>
        <a:xfrm>
          <a:off x="1755140" y="232419525"/>
          <a:ext cx="655320" cy="327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492760</xdr:colOff>
      <xdr:row>1</xdr:row>
      <xdr:rowOff>132715</xdr:rowOff>
    </xdr:to>
    <xdr:pic>
      <xdr:nvPicPr>
        <xdr:cNvPr id="613" name="ID_5A5841AE0ACF4C56BD941176177BEE8B" descr="239"/>
        <xdr:cNvPicPr/>
      </xdr:nvPicPr>
      <xdr:blipFill>
        <a:blip r:embed="rId132"/>
        <a:srcRect/>
        <a:stretch>
          <a:fillRect/>
        </a:stretch>
      </xdr:blipFill>
      <xdr:spPr>
        <a:xfrm>
          <a:off x="1755775" y="230897430"/>
          <a:ext cx="492760" cy="346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434340</xdr:colOff>
      <xdr:row>1</xdr:row>
      <xdr:rowOff>156845</xdr:rowOff>
    </xdr:to>
    <xdr:pic>
      <xdr:nvPicPr>
        <xdr:cNvPr id="637" name="ID_A5D7BED545C649CB93FE72E8081B2EC9" descr="74"/>
        <xdr:cNvPicPr/>
      </xdr:nvPicPr>
      <xdr:blipFill>
        <a:blip r:embed="rId47"/>
        <a:srcRect/>
        <a:stretch>
          <a:fillRect/>
        </a:stretch>
      </xdr:blipFill>
      <xdr:spPr>
        <a:xfrm>
          <a:off x="1761490" y="241179350"/>
          <a:ext cx="434340" cy="37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69850</xdr:colOff>
      <xdr:row>1</xdr:row>
      <xdr:rowOff>145415</xdr:rowOff>
    </xdr:to>
    <xdr:pic>
      <xdr:nvPicPr>
        <xdr:cNvPr id="621" name="ID_D57CF1D0EE73467182E3FD236B267E45" descr="399"/>
        <xdr:cNvPicPr/>
      </xdr:nvPicPr>
      <xdr:blipFill>
        <a:blip r:embed="rId133"/>
        <a:srcRect/>
        <a:stretch>
          <a:fillRect/>
        </a:stretch>
      </xdr:blipFill>
      <xdr:spPr>
        <a:xfrm>
          <a:off x="1753870" y="234322620"/>
          <a:ext cx="837565" cy="3587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247015</xdr:colOff>
      <xdr:row>1</xdr:row>
      <xdr:rowOff>149860</xdr:rowOff>
    </xdr:to>
    <xdr:pic>
      <xdr:nvPicPr>
        <xdr:cNvPr id="612" name="ID_256D97DA9214464CA995729580925324" descr="238"/>
        <xdr:cNvPicPr/>
      </xdr:nvPicPr>
      <xdr:blipFill>
        <a:blip r:embed="rId134"/>
        <a:srcRect/>
        <a:stretch>
          <a:fillRect/>
        </a:stretch>
      </xdr:blipFill>
      <xdr:spPr>
        <a:xfrm>
          <a:off x="1753235" y="230509445"/>
          <a:ext cx="247015" cy="3632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617220</xdr:colOff>
      <xdr:row>9</xdr:row>
      <xdr:rowOff>200660</xdr:rowOff>
    </xdr:to>
    <xdr:pic>
      <xdr:nvPicPr>
        <xdr:cNvPr id="500" name="ID_E13A6A8F7F9D424D8C03DE6942B3064A" descr="core_image_url__exec_download_4093736903"/>
        <xdr:cNvPicPr/>
      </xdr:nvPicPr>
      <xdr:blipFill>
        <a:blip r:embed="rId135"/>
        <a:stretch>
          <a:fillRect/>
        </a:stretch>
      </xdr:blipFill>
      <xdr:spPr>
        <a:xfrm>
          <a:off x="0" y="0"/>
          <a:ext cx="2152650" cy="2120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363855</xdr:colOff>
      <xdr:row>1</xdr:row>
      <xdr:rowOff>128270</xdr:rowOff>
    </xdr:to>
    <xdr:pic>
      <xdr:nvPicPr>
        <xdr:cNvPr id="575" name="ID_2DD34A6B8ED243AAA391C38F9389F9E4" descr="203"/>
        <xdr:cNvPicPr>
          <a:picLocks noChangeAspect="1"/>
        </xdr:cNvPicPr>
      </xdr:nvPicPr>
      <xdr:blipFill>
        <a:blip r:embed="rId136"/>
        <a:srcRect/>
        <a:stretch>
          <a:fillRect/>
        </a:stretch>
      </xdr:blipFill>
      <xdr:spPr>
        <a:xfrm>
          <a:off x="1897380" y="212252560"/>
          <a:ext cx="1131570" cy="3416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18415</xdr:colOff>
      <xdr:row>3</xdr:row>
      <xdr:rowOff>127000</xdr:rowOff>
    </xdr:to>
    <xdr:pic>
      <xdr:nvPicPr>
        <xdr:cNvPr id="441" name="ID_0F23B24B29D14CED96970FEDE9FE895A" descr="202"/>
        <xdr:cNvPicPr/>
      </xdr:nvPicPr>
      <xdr:blipFill>
        <a:blip r:embed="rId137"/>
        <a:srcRect/>
        <a:stretch>
          <a:fillRect/>
        </a:stretch>
      </xdr:blipFill>
      <xdr:spPr>
        <a:xfrm>
          <a:off x="4893310" y="230551355"/>
          <a:ext cx="1553845" cy="7670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619125</xdr:colOff>
      <xdr:row>1</xdr:row>
      <xdr:rowOff>154305</xdr:rowOff>
    </xdr:to>
    <xdr:pic>
      <xdr:nvPicPr>
        <xdr:cNvPr id="170" name="ID_E771A8C28A5A455E924B1D08F2218F93" descr="525"/>
        <xdr:cNvPicPr/>
      </xdr:nvPicPr>
      <xdr:blipFill>
        <a:blip r:embed="rId48"/>
        <a:srcRect/>
        <a:stretch>
          <a:fillRect/>
        </a:stretch>
      </xdr:blipFill>
      <xdr:spPr>
        <a:xfrm>
          <a:off x="2001520" y="51161315"/>
          <a:ext cx="619125" cy="3676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545465</xdr:colOff>
      <xdr:row>1</xdr:row>
      <xdr:rowOff>156210</xdr:rowOff>
    </xdr:to>
    <xdr:pic>
      <xdr:nvPicPr>
        <xdr:cNvPr id="571" name="ID_0A999397A04C449089B60E0A091D9CCF" descr="113"/>
        <xdr:cNvPicPr/>
      </xdr:nvPicPr>
      <xdr:blipFill>
        <a:blip r:embed="rId138"/>
        <a:srcRect/>
        <a:stretch>
          <a:fillRect/>
        </a:stretch>
      </xdr:blipFill>
      <xdr:spPr>
        <a:xfrm>
          <a:off x="1749425" y="211077175"/>
          <a:ext cx="545465" cy="3695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407670</xdr:colOff>
      <xdr:row>1</xdr:row>
      <xdr:rowOff>135255</xdr:rowOff>
    </xdr:to>
    <xdr:pic>
      <xdr:nvPicPr>
        <xdr:cNvPr id="488" name="ID_E64A05387D8A47E5AC54E184F0F442A0" descr="440"/>
        <xdr:cNvPicPr/>
      </xdr:nvPicPr>
      <xdr:blipFill>
        <a:blip r:embed="rId103"/>
        <a:srcRect/>
        <a:stretch>
          <a:fillRect/>
        </a:stretch>
      </xdr:blipFill>
      <xdr:spPr>
        <a:xfrm>
          <a:off x="1786255" y="168021000"/>
          <a:ext cx="407670" cy="3486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560070</xdr:colOff>
      <xdr:row>1</xdr:row>
      <xdr:rowOff>162560</xdr:rowOff>
    </xdr:to>
    <xdr:pic>
      <xdr:nvPicPr>
        <xdr:cNvPr id="570" name="ID_6F4B8C7E62744223A88E7272BD01BBF0" descr="112"/>
        <xdr:cNvPicPr/>
      </xdr:nvPicPr>
      <xdr:blipFill>
        <a:blip r:embed="rId139"/>
        <a:srcRect/>
        <a:stretch>
          <a:fillRect/>
        </a:stretch>
      </xdr:blipFill>
      <xdr:spPr>
        <a:xfrm>
          <a:off x="2035175" y="210828890"/>
          <a:ext cx="560070" cy="375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69215</xdr:colOff>
      <xdr:row>1</xdr:row>
      <xdr:rowOff>173990</xdr:rowOff>
    </xdr:to>
    <xdr:pic>
      <xdr:nvPicPr>
        <xdr:cNvPr id="565" name="ID_961EB3D8A74440BEBA6E96B6F3F988CC" descr="185"/>
        <xdr:cNvPicPr/>
      </xdr:nvPicPr>
      <xdr:blipFill>
        <a:blip r:embed="rId140"/>
        <a:srcRect/>
        <a:stretch>
          <a:fillRect/>
        </a:stretch>
      </xdr:blipFill>
      <xdr:spPr>
        <a:xfrm>
          <a:off x="2085975" y="205088490"/>
          <a:ext cx="836930" cy="387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35560</xdr:colOff>
      <xdr:row>1</xdr:row>
      <xdr:rowOff>123190</xdr:rowOff>
    </xdr:to>
    <xdr:pic>
      <xdr:nvPicPr>
        <xdr:cNvPr id="557" name="ID_87F2F4399C4444939622DE2608967297" descr="26"/>
        <xdr:cNvPicPr/>
      </xdr:nvPicPr>
      <xdr:blipFill>
        <a:blip r:embed="rId141"/>
        <a:srcRect/>
        <a:stretch>
          <a:fillRect/>
        </a:stretch>
      </xdr:blipFill>
      <xdr:spPr>
        <a:xfrm>
          <a:off x="1789430" y="201555985"/>
          <a:ext cx="803275" cy="336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744855</xdr:colOff>
      <xdr:row>7</xdr:row>
      <xdr:rowOff>1905</xdr:rowOff>
    </xdr:to>
    <xdr:pic>
      <xdr:nvPicPr>
        <xdr:cNvPr id="13" name="ID_ACA2274CD2304C92B770B00AD8E2C105" descr="core_image_url__exec_download_829148229"/>
        <xdr:cNvPicPr/>
      </xdr:nvPicPr>
      <xdr:blipFill>
        <a:blip r:embed="rId142"/>
        <a:stretch>
          <a:fillRect/>
        </a:stretch>
      </xdr:blipFill>
      <xdr:spPr>
        <a:xfrm>
          <a:off x="0" y="0"/>
          <a:ext cx="3048000" cy="1495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15</xdr:row>
      <xdr:rowOff>0</xdr:rowOff>
    </xdr:to>
    <xdr:pic>
      <xdr:nvPicPr>
        <xdr:cNvPr id="671" name="ID_C13C1C579F494547822B8FEDD3563F40" descr="core_image_url__exec_download_2258605522"/>
        <xdr:cNvPicPr/>
      </xdr:nvPicPr>
      <xdr:blipFill>
        <a:blip r:embed="rId26"/>
        <a:stretch>
          <a:fillRect/>
        </a:stretch>
      </xdr:blipFill>
      <xdr:spPr>
        <a:xfrm>
          <a:off x="0" y="0"/>
          <a:ext cx="5105400" cy="3200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735330</xdr:colOff>
      <xdr:row>1</xdr:row>
      <xdr:rowOff>99060</xdr:rowOff>
    </xdr:to>
    <xdr:pic>
      <xdr:nvPicPr>
        <xdr:cNvPr id="548" name="ID_1F3C8866072C491B9F0EF55932F01D3C" descr="270"/>
        <xdr:cNvPicPr/>
      </xdr:nvPicPr>
      <xdr:blipFill>
        <a:blip r:embed="rId143"/>
        <a:srcRect/>
        <a:stretch>
          <a:fillRect/>
        </a:stretch>
      </xdr:blipFill>
      <xdr:spPr>
        <a:xfrm>
          <a:off x="1800860" y="198543545"/>
          <a:ext cx="735330" cy="3124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664210</xdr:colOff>
      <xdr:row>1</xdr:row>
      <xdr:rowOff>104140</xdr:rowOff>
    </xdr:to>
    <xdr:pic>
      <xdr:nvPicPr>
        <xdr:cNvPr id="547" name="ID_7A2C12BFCF814DE7B2A14682B4DE3C1D" descr="267"/>
        <xdr:cNvPicPr/>
      </xdr:nvPicPr>
      <xdr:blipFill>
        <a:blip r:embed="rId144"/>
        <a:srcRect/>
        <a:stretch>
          <a:fillRect/>
        </a:stretch>
      </xdr:blipFill>
      <xdr:spPr>
        <a:xfrm>
          <a:off x="1784350" y="198139050"/>
          <a:ext cx="664210" cy="317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502285</xdr:colOff>
      <xdr:row>1</xdr:row>
      <xdr:rowOff>144780</xdr:rowOff>
    </xdr:to>
    <xdr:pic>
      <xdr:nvPicPr>
        <xdr:cNvPr id="546" name="ID_550AEE72D8704A3D8D0B2179A1F7E772" descr="core_image_url__exec_download_555789969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2076450" y="197755510"/>
          <a:ext cx="502285" cy="3581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506095</xdr:colOff>
      <xdr:row>1</xdr:row>
      <xdr:rowOff>109220</xdr:rowOff>
    </xdr:to>
    <xdr:pic>
      <xdr:nvPicPr>
        <xdr:cNvPr id="405" name="ID_6649A4D978374F9A8D5304BD59B418EE" descr="326"/>
        <xdr:cNvPicPr/>
      </xdr:nvPicPr>
      <xdr:blipFill>
        <a:blip r:embed="rId146"/>
        <a:srcRect/>
        <a:stretch>
          <a:fillRect/>
        </a:stretch>
      </xdr:blipFill>
      <xdr:spPr>
        <a:xfrm>
          <a:off x="1840865" y="150148290"/>
          <a:ext cx="506095" cy="32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570865</xdr:colOff>
      <xdr:row>1</xdr:row>
      <xdr:rowOff>182880</xdr:rowOff>
    </xdr:to>
    <xdr:pic>
      <xdr:nvPicPr>
        <xdr:cNvPr id="434" name="ID_D6E57BFE8E7644BDB26897593244C625" descr="83"/>
        <xdr:cNvPicPr/>
      </xdr:nvPicPr>
      <xdr:blipFill>
        <a:blip r:embed="rId147"/>
        <a:srcRect/>
        <a:stretch>
          <a:fillRect/>
        </a:stretch>
      </xdr:blipFill>
      <xdr:spPr>
        <a:xfrm>
          <a:off x="1749425" y="138309350"/>
          <a:ext cx="570865" cy="396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352425</xdr:colOff>
      <xdr:row>1</xdr:row>
      <xdr:rowOff>80645</xdr:rowOff>
    </xdr:to>
    <xdr:pic>
      <xdr:nvPicPr>
        <xdr:cNvPr id="333" name="ID_F5B69C2B1362453BB9DCB18491CCAE85" descr="16"/>
        <xdr:cNvPicPr/>
      </xdr:nvPicPr>
      <xdr:blipFill>
        <a:blip r:embed="rId148"/>
        <a:srcRect/>
        <a:stretch>
          <a:fillRect/>
        </a:stretch>
      </xdr:blipFill>
      <xdr:spPr>
        <a:xfrm>
          <a:off x="1838325" y="134925435"/>
          <a:ext cx="352425" cy="2940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552450</xdr:colOff>
      <xdr:row>1</xdr:row>
      <xdr:rowOff>99060</xdr:rowOff>
    </xdr:to>
    <xdr:pic>
      <xdr:nvPicPr>
        <xdr:cNvPr id="235" name="ID_E406FB97FBDE4A32BD34489DA4174ADC" descr="466"/>
        <xdr:cNvPicPr/>
      </xdr:nvPicPr>
      <xdr:blipFill>
        <a:blip r:embed="rId149"/>
        <a:srcRect/>
        <a:stretch>
          <a:fillRect/>
        </a:stretch>
      </xdr:blipFill>
      <xdr:spPr>
        <a:xfrm>
          <a:off x="1765300" y="90048080"/>
          <a:ext cx="552450" cy="3124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358775</xdr:colOff>
      <xdr:row>1</xdr:row>
      <xdr:rowOff>145415</xdr:rowOff>
    </xdr:to>
    <xdr:pic>
      <xdr:nvPicPr>
        <xdr:cNvPr id="561" name="ID_EC380749CD0C400E89EF32E91C2559E0" descr="core_image_url__exec_download_25906148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2148205" y="202707875"/>
          <a:ext cx="358775" cy="358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9</xdr:col>
      <xdr:colOff>710565</xdr:colOff>
      <xdr:row>9</xdr:row>
      <xdr:rowOff>127635</xdr:rowOff>
    </xdr:to>
    <xdr:pic>
      <xdr:nvPicPr>
        <xdr:cNvPr id="66" name="ID_9250D31B7A234D8DA0E6820E908C180B" descr="core_image_url__exec_download_3632792364"/>
        <xdr:cNvPicPr/>
      </xdr:nvPicPr>
      <xdr:blipFill>
        <a:blip r:embed="rId151"/>
        <a:stretch>
          <a:fillRect/>
        </a:stretch>
      </xdr:blipFill>
      <xdr:spPr>
        <a:xfrm>
          <a:off x="0" y="0"/>
          <a:ext cx="7620000" cy="2047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491490</xdr:colOff>
      <xdr:row>17</xdr:row>
      <xdr:rowOff>151130</xdr:rowOff>
    </xdr:to>
    <xdr:pic>
      <xdr:nvPicPr>
        <xdr:cNvPr id="532" name="ID_6A13382E98DA4BFC9E3398E7EAF2F9AB" descr="core_image_url__exec_download_2341312884"/>
        <xdr:cNvPicPr/>
      </xdr:nvPicPr>
      <xdr:blipFill>
        <a:blip r:embed="rId152"/>
        <a:stretch>
          <a:fillRect/>
        </a:stretch>
      </xdr:blipFill>
      <xdr:spPr>
        <a:xfrm>
          <a:off x="0" y="0"/>
          <a:ext cx="4330065" cy="3778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716915</xdr:colOff>
      <xdr:row>1</xdr:row>
      <xdr:rowOff>26035</xdr:rowOff>
    </xdr:to>
    <xdr:pic>
      <xdr:nvPicPr>
        <xdr:cNvPr id="232" name="ID_C6798D66EF914AB9A03BA7D80C5805A4" descr="492"/>
        <xdr:cNvPicPr/>
      </xdr:nvPicPr>
      <xdr:blipFill>
        <a:blip r:embed="rId153"/>
        <a:srcRect/>
        <a:stretch>
          <a:fillRect/>
        </a:stretch>
      </xdr:blipFill>
      <xdr:spPr>
        <a:xfrm>
          <a:off x="1851660" y="89291160"/>
          <a:ext cx="716915" cy="2393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549275</xdr:colOff>
      <xdr:row>1</xdr:row>
      <xdr:rowOff>146685</xdr:rowOff>
    </xdr:to>
    <xdr:pic>
      <xdr:nvPicPr>
        <xdr:cNvPr id="624" name="ID_E3382B49E0C347B78747D3268C59554B" descr="139"/>
        <xdr:cNvPicPr/>
      </xdr:nvPicPr>
      <xdr:blipFill>
        <a:blip r:embed="rId154"/>
        <a:srcRect/>
        <a:stretch>
          <a:fillRect/>
        </a:stretch>
      </xdr:blipFill>
      <xdr:spPr>
        <a:xfrm>
          <a:off x="1765300" y="236612430"/>
          <a:ext cx="549275" cy="3600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319405</xdr:colOff>
      <xdr:row>47</xdr:row>
      <xdr:rowOff>30480</xdr:rowOff>
    </xdr:to>
    <xdr:pic>
      <xdr:nvPicPr>
        <xdr:cNvPr id="63" name="ID_CBFC3EBA615E4E89A17D0D07DFA1CCBC" descr="core_image_url__exec_download_3134126624"/>
        <xdr:cNvPicPr/>
      </xdr:nvPicPr>
      <xdr:blipFill>
        <a:blip r:embed="rId155"/>
        <a:stretch>
          <a:fillRect/>
        </a:stretch>
      </xdr:blipFill>
      <xdr:spPr>
        <a:xfrm>
          <a:off x="0" y="0"/>
          <a:ext cx="8764270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548005</xdr:colOff>
      <xdr:row>1</xdr:row>
      <xdr:rowOff>145415</xdr:rowOff>
    </xdr:to>
    <xdr:pic>
      <xdr:nvPicPr>
        <xdr:cNvPr id="653" name="ID_59A5AC0E8F0D4F18A98ABD058A5FDDD5" descr="core_image_url__exec_download_3683973000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2026285" y="248427240"/>
          <a:ext cx="548005" cy="358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393065</xdr:colOff>
      <xdr:row>1</xdr:row>
      <xdr:rowOff>114935</xdr:rowOff>
    </xdr:to>
    <xdr:pic>
      <xdr:nvPicPr>
        <xdr:cNvPr id="227" name="ID_9D1BD5559FA44BF1A4B4F1990986AB11" descr="436"/>
        <xdr:cNvPicPr/>
      </xdr:nvPicPr>
      <xdr:blipFill>
        <a:blip r:embed="rId157"/>
        <a:srcRect/>
        <a:stretch>
          <a:fillRect/>
        </a:stretch>
      </xdr:blipFill>
      <xdr:spPr>
        <a:xfrm>
          <a:off x="1907540" y="88533605"/>
          <a:ext cx="393065" cy="3282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450215</xdr:colOff>
      <xdr:row>1</xdr:row>
      <xdr:rowOff>162560</xdr:rowOff>
    </xdr:to>
    <xdr:pic>
      <xdr:nvPicPr>
        <xdr:cNvPr id="226" name="ID_17452486939B474A9E386A8694871C17" descr="435"/>
        <xdr:cNvPicPr/>
      </xdr:nvPicPr>
      <xdr:blipFill>
        <a:blip r:embed="rId157"/>
        <a:srcRect/>
        <a:stretch>
          <a:fillRect/>
        </a:stretch>
      </xdr:blipFill>
      <xdr:spPr>
        <a:xfrm>
          <a:off x="1761490" y="88013540"/>
          <a:ext cx="450215" cy="375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326390</xdr:colOff>
      <xdr:row>1</xdr:row>
      <xdr:rowOff>114300</xdr:rowOff>
    </xdr:to>
    <xdr:pic>
      <xdr:nvPicPr>
        <xdr:cNvPr id="236" name="ID_69223F92267C48899949AB34059F8C15" descr="425"/>
        <xdr:cNvPicPr/>
      </xdr:nvPicPr>
      <xdr:blipFill>
        <a:blip r:embed="rId158"/>
        <a:srcRect/>
        <a:stretch>
          <a:fillRect/>
        </a:stretch>
      </xdr:blipFill>
      <xdr:spPr>
        <a:xfrm>
          <a:off x="1746250" y="87661750"/>
          <a:ext cx="326390" cy="327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283845</xdr:colOff>
      <xdr:row>2</xdr:row>
      <xdr:rowOff>106680</xdr:rowOff>
    </xdr:to>
    <xdr:pic>
      <xdr:nvPicPr>
        <xdr:cNvPr id="665" name="ID_C7D4C0841DFE4C9BBC40D5B0E5D7271D" descr="core_image_url__exec_download_2201427377"/>
        <xdr:cNvPicPr/>
      </xdr:nvPicPr>
      <xdr:blipFill>
        <a:blip r:embed="rId159"/>
        <a:stretch>
          <a:fillRect/>
        </a:stretch>
      </xdr:blipFill>
      <xdr:spPr>
        <a:xfrm>
          <a:off x="0" y="0"/>
          <a:ext cx="181927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473075</xdr:colOff>
      <xdr:row>1</xdr:row>
      <xdr:rowOff>140335</xdr:rowOff>
    </xdr:to>
    <xdr:pic>
      <xdr:nvPicPr>
        <xdr:cNvPr id="544" name="ID_F1EB728CD8E34D638CA0B65D16ACEE8D" descr="241"/>
        <xdr:cNvPicPr/>
      </xdr:nvPicPr>
      <xdr:blipFill>
        <a:blip r:embed="rId160"/>
        <a:srcRect/>
        <a:stretch>
          <a:fillRect/>
        </a:stretch>
      </xdr:blipFill>
      <xdr:spPr>
        <a:xfrm>
          <a:off x="1782445" y="196984620"/>
          <a:ext cx="473075" cy="3536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194310</xdr:colOff>
      <xdr:row>1</xdr:row>
      <xdr:rowOff>179070</xdr:rowOff>
    </xdr:to>
    <xdr:pic>
      <xdr:nvPicPr>
        <xdr:cNvPr id="224" name="ID_CF7DE16248954C8587281A121A335267" descr="389"/>
        <xdr:cNvPicPr/>
      </xdr:nvPicPr>
      <xdr:blipFill>
        <a:blip r:embed="rId161"/>
        <a:srcRect/>
        <a:stretch>
          <a:fillRect/>
        </a:stretch>
      </xdr:blipFill>
      <xdr:spPr>
        <a:xfrm>
          <a:off x="1866265" y="86942930"/>
          <a:ext cx="194310" cy="392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714375</xdr:colOff>
      <xdr:row>1</xdr:row>
      <xdr:rowOff>168910</xdr:rowOff>
    </xdr:to>
    <xdr:pic>
      <xdr:nvPicPr>
        <xdr:cNvPr id="222" name="ID_E43C6C1CA43642E0861B68C498DE15F8" descr="268"/>
        <xdr:cNvPicPr/>
      </xdr:nvPicPr>
      <xdr:blipFill>
        <a:blip r:embed="rId162"/>
        <a:srcRect/>
        <a:stretch>
          <a:fillRect/>
        </a:stretch>
      </xdr:blipFill>
      <xdr:spPr>
        <a:xfrm>
          <a:off x="1753870" y="86106000"/>
          <a:ext cx="714375" cy="3822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274320</xdr:colOff>
      <xdr:row>6</xdr:row>
      <xdr:rowOff>205740</xdr:rowOff>
    </xdr:to>
    <xdr:pic>
      <xdr:nvPicPr>
        <xdr:cNvPr id="72" name="ID_F789DF3C06F94C418A1117C9CBFCCCB6" descr="core_image_url__exec_download_1417850696"/>
        <xdr:cNvPicPr/>
      </xdr:nvPicPr>
      <xdr:blipFill>
        <a:blip r:embed="rId163"/>
        <a:stretch>
          <a:fillRect/>
        </a:stretch>
      </xdr:blipFill>
      <xdr:spPr>
        <a:xfrm>
          <a:off x="0" y="0"/>
          <a:ext cx="1809750" cy="1485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683260</xdr:colOff>
      <xdr:row>1</xdr:row>
      <xdr:rowOff>112395</xdr:rowOff>
    </xdr:to>
    <xdr:pic>
      <xdr:nvPicPr>
        <xdr:cNvPr id="540" name="ID_2C191C6EC91642159C4374F0C8BE6D0E" descr="9"/>
        <xdr:cNvPicPr/>
      </xdr:nvPicPr>
      <xdr:blipFill>
        <a:blip r:embed="rId164"/>
        <a:srcRect/>
        <a:stretch>
          <a:fillRect/>
        </a:stretch>
      </xdr:blipFill>
      <xdr:spPr>
        <a:xfrm>
          <a:off x="1774190" y="192432305"/>
          <a:ext cx="683260" cy="3257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706120</xdr:colOff>
      <xdr:row>1</xdr:row>
      <xdr:rowOff>139700</xdr:rowOff>
    </xdr:to>
    <xdr:pic>
      <xdr:nvPicPr>
        <xdr:cNvPr id="539" name="ID_130D4F27CD1E42B68E362DECB974221C" descr="7"/>
        <xdr:cNvPicPr/>
      </xdr:nvPicPr>
      <xdr:blipFill>
        <a:blip r:embed="rId131"/>
        <a:srcRect/>
        <a:stretch>
          <a:fillRect/>
        </a:stretch>
      </xdr:blipFill>
      <xdr:spPr>
        <a:xfrm>
          <a:off x="1764665" y="192032890"/>
          <a:ext cx="706120" cy="35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450850</xdr:colOff>
      <xdr:row>1</xdr:row>
      <xdr:rowOff>137795</xdr:rowOff>
    </xdr:to>
    <xdr:pic>
      <xdr:nvPicPr>
        <xdr:cNvPr id="537" name="ID_337F73AC5F0C4FE9AE173D8EB71631F0" descr="349"/>
        <xdr:cNvPicPr/>
      </xdr:nvPicPr>
      <xdr:blipFill>
        <a:blip r:embed="rId165"/>
        <a:srcRect/>
        <a:stretch>
          <a:fillRect/>
        </a:stretch>
      </xdr:blipFill>
      <xdr:spPr>
        <a:xfrm>
          <a:off x="1746250" y="191262000"/>
          <a:ext cx="450850" cy="3511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479425</xdr:colOff>
      <xdr:row>1</xdr:row>
      <xdr:rowOff>145415</xdr:rowOff>
    </xdr:to>
    <xdr:pic>
      <xdr:nvPicPr>
        <xdr:cNvPr id="536" name="ID_9402DAEACBDA44E0956458339A5E6520" descr="348"/>
        <xdr:cNvPicPr/>
      </xdr:nvPicPr>
      <xdr:blipFill>
        <a:blip r:embed="rId166"/>
        <a:srcRect/>
        <a:stretch>
          <a:fillRect/>
        </a:stretch>
      </xdr:blipFill>
      <xdr:spPr>
        <a:xfrm>
          <a:off x="1746250" y="190881000"/>
          <a:ext cx="479425" cy="3587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760730</xdr:colOff>
      <xdr:row>1</xdr:row>
      <xdr:rowOff>99695</xdr:rowOff>
    </xdr:to>
    <xdr:pic>
      <xdr:nvPicPr>
        <xdr:cNvPr id="535" name="ID_B61CCE1BC5774176965863F4EBEA2D63" descr="187"/>
        <xdr:cNvPicPr/>
      </xdr:nvPicPr>
      <xdr:blipFill>
        <a:blip r:embed="rId167"/>
        <a:srcRect/>
        <a:stretch>
          <a:fillRect/>
        </a:stretch>
      </xdr:blipFill>
      <xdr:spPr>
        <a:xfrm>
          <a:off x="1771650" y="190528575"/>
          <a:ext cx="760730" cy="3130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573405</xdr:colOff>
      <xdr:row>1</xdr:row>
      <xdr:rowOff>142875</xdr:rowOff>
    </xdr:to>
    <xdr:pic>
      <xdr:nvPicPr>
        <xdr:cNvPr id="531" name="ID_F0B43978E4A4446BB34674F313D9CF2E" descr="385"/>
        <xdr:cNvPicPr/>
      </xdr:nvPicPr>
      <xdr:blipFill>
        <a:blip r:embed="rId168"/>
        <a:srcRect/>
        <a:stretch>
          <a:fillRect/>
        </a:stretch>
      </xdr:blipFill>
      <xdr:spPr>
        <a:xfrm>
          <a:off x="1746250" y="189357000"/>
          <a:ext cx="573405" cy="3562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546735</xdr:colOff>
      <xdr:row>1</xdr:row>
      <xdr:rowOff>65405</xdr:rowOff>
    </xdr:to>
    <xdr:pic>
      <xdr:nvPicPr>
        <xdr:cNvPr id="376" name="ID_C15C2F81D3F04B0BAD81F055BF31B5B4" descr="36"/>
        <xdr:cNvPicPr/>
      </xdr:nvPicPr>
      <xdr:blipFill>
        <a:blip r:embed="rId169"/>
        <a:srcRect/>
        <a:stretch>
          <a:fillRect/>
        </a:stretch>
      </xdr:blipFill>
      <xdr:spPr>
        <a:xfrm>
          <a:off x="1802765" y="144846040"/>
          <a:ext cx="546735" cy="2787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554355</xdr:colOff>
      <xdr:row>1</xdr:row>
      <xdr:rowOff>118745</xdr:rowOff>
    </xdr:to>
    <xdr:pic>
      <xdr:nvPicPr>
        <xdr:cNvPr id="527" name="ID_E6C563DFCD2142B4A5C4B34D0516A8F8" descr="381"/>
        <xdr:cNvPicPr/>
      </xdr:nvPicPr>
      <xdr:blipFill>
        <a:blip r:embed="rId170"/>
        <a:srcRect/>
        <a:stretch>
          <a:fillRect/>
        </a:stretch>
      </xdr:blipFill>
      <xdr:spPr>
        <a:xfrm>
          <a:off x="1746250" y="187833000"/>
          <a:ext cx="554355" cy="3321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558800</xdr:colOff>
      <xdr:row>1</xdr:row>
      <xdr:rowOff>103505</xdr:rowOff>
    </xdr:to>
    <xdr:pic>
      <xdr:nvPicPr>
        <xdr:cNvPr id="550" name="ID_D308384B432C446E95C25F0873D1FA82" descr="272"/>
        <xdr:cNvPicPr/>
      </xdr:nvPicPr>
      <xdr:blipFill>
        <a:blip r:embed="rId171"/>
        <a:srcRect/>
        <a:stretch>
          <a:fillRect/>
        </a:stretch>
      </xdr:blipFill>
      <xdr:spPr>
        <a:xfrm>
          <a:off x="1797685" y="199284590"/>
          <a:ext cx="558800" cy="316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231140</xdr:colOff>
      <xdr:row>0</xdr:row>
      <xdr:rowOff>160655</xdr:rowOff>
    </xdr:to>
    <xdr:pic>
      <xdr:nvPicPr>
        <xdr:cNvPr id="542" name="ID_F850A5DDE2DF4EB887663D8369F3C2E3" descr="171"/>
        <xdr:cNvPicPr/>
      </xdr:nvPicPr>
      <xdr:blipFill>
        <a:blip r:embed="rId172"/>
        <a:srcRect/>
        <a:stretch>
          <a:fillRect/>
        </a:stretch>
      </xdr:blipFill>
      <xdr:spPr>
        <a:xfrm>
          <a:off x="1827530" y="193227325"/>
          <a:ext cx="998855" cy="1606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470535</xdr:colOff>
      <xdr:row>1</xdr:row>
      <xdr:rowOff>153670</xdr:rowOff>
    </xdr:to>
    <xdr:pic>
      <xdr:nvPicPr>
        <xdr:cNvPr id="522" name="ID_99E76338E3714337AEF9D42FC23D2C36" descr="376"/>
        <xdr:cNvPicPr/>
      </xdr:nvPicPr>
      <xdr:blipFill>
        <a:blip r:embed="rId173"/>
        <a:srcRect/>
        <a:stretch>
          <a:fillRect/>
        </a:stretch>
      </xdr:blipFill>
      <xdr:spPr>
        <a:xfrm>
          <a:off x="1746250" y="185928000"/>
          <a:ext cx="470535" cy="3670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389890</xdr:colOff>
      <xdr:row>1</xdr:row>
      <xdr:rowOff>139700</xdr:rowOff>
    </xdr:to>
    <xdr:pic>
      <xdr:nvPicPr>
        <xdr:cNvPr id="526" name="ID_804EE9C48BBF473094340505EB38196A" descr="380"/>
        <xdr:cNvPicPr/>
      </xdr:nvPicPr>
      <xdr:blipFill>
        <a:blip r:embed="rId174"/>
        <a:srcRect/>
        <a:stretch>
          <a:fillRect/>
        </a:stretch>
      </xdr:blipFill>
      <xdr:spPr>
        <a:xfrm>
          <a:off x="1746250" y="187452000"/>
          <a:ext cx="389890" cy="35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441325</xdr:colOff>
      <xdr:row>1</xdr:row>
      <xdr:rowOff>130810</xdr:rowOff>
    </xdr:to>
    <xdr:pic>
      <xdr:nvPicPr>
        <xdr:cNvPr id="521" name="ID_54CEAB58E3524ED18D868E4F86C2563E" descr="375"/>
        <xdr:cNvPicPr/>
      </xdr:nvPicPr>
      <xdr:blipFill>
        <a:blip r:embed="rId175"/>
        <a:srcRect/>
        <a:stretch>
          <a:fillRect/>
        </a:stretch>
      </xdr:blipFill>
      <xdr:spPr>
        <a:xfrm>
          <a:off x="1746250" y="185547000"/>
          <a:ext cx="441325" cy="344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563880</xdr:colOff>
      <xdr:row>1</xdr:row>
      <xdr:rowOff>42545</xdr:rowOff>
    </xdr:to>
    <xdr:pic>
      <xdr:nvPicPr>
        <xdr:cNvPr id="380" name="ID_B77A6A450A4647F0938600888F018CB7" descr="42"/>
        <xdr:cNvPicPr/>
      </xdr:nvPicPr>
      <xdr:blipFill>
        <a:blip r:embed="rId176"/>
        <a:srcRect/>
        <a:stretch>
          <a:fillRect/>
        </a:stretch>
      </xdr:blipFill>
      <xdr:spPr>
        <a:xfrm>
          <a:off x="1783715" y="147103465"/>
          <a:ext cx="563880" cy="2559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525780</xdr:colOff>
      <xdr:row>1</xdr:row>
      <xdr:rowOff>101600</xdr:rowOff>
    </xdr:to>
    <xdr:pic>
      <xdr:nvPicPr>
        <xdr:cNvPr id="520" name="ID_656C6BB1C038452391849E210F52556A" descr="374"/>
        <xdr:cNvPicPr/>
      </xdr:nvPicPr>
      <xdr:blipFill>
        <a:blip r:embed="rId177"/>
        <a:srcRect/>
        <a:stretch>
          <a:fillRect/>
        </a:stretch>
      </xdr:blipFill>
      <xdr:spPr>
        <a:xfrm>
          <a:off x="1746250" y="185166000"/>
          <a:ext cx="525780" cy="31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266700</xdr:colOff>
      <xdr:row>1</xdr:row>
      <xdr:rowOff>133985</xdr:rowOff>
    </xdr:to>
    <xdr:pic>
      <xdr:nvPicPr>
        <xdr:cNvPr id="518" name="ID_53EB345359844ABD8C31AE5DB5B919AE" descr="372"/>
        <xdr:cNvPicPr/>
      </xdr:nvPicPr>
      <xdr:blipFill>
        <a:blip r:embed="rId178"/>
        <a:srcRect/>
        <a:stretch>
          <a:fillRect/>
        </a:stretch>
      </xdr:blipFill>
      <xdr:spPr>
        <a:xfrm>
          <a:off x="1746250" y="184404000"/>
          <a:ext cx="1034415" cy="3473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43815</xdr:colOff>
      <xdr:row>1</xdr:row>
      <xdr:rowOff>136525</xdr:rowOff>
    </xdr:to>
    <xdr:pic>
      <xdr:nvPicPr>
        <xdr:cNvPr id="517" name="ID_CC25CDA661234893BB853CD5C62DF04E" descr="111"/>
        <xdr:cNvPicPr/>
      </xdr:nvPicPr>
      <xdr:blipFill>
        <a:blip r:embed="rId179"/>
        <a:srcRect/>
        <a:stretch>
          <a:fillRect/>
        </a:stretch>
      </xdr:blipFill>
      <xdr:spPr>
        <a:xfrm>
          <a:off x="1798955" y="183657240"/>
          <a:ext cx="811530" cy="3498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388620</xdr:colOff>
      <xdr:row>1</xdr:row>
      <xdr:rowOff>91440</xdr:rowOff>
    </xdr:to>
    <xdr:pic>
      <xdr:nvPicPr>
        <xdr:cNvPr id="119" name="ID_5DCBE90781354546AC0A5D14A9A5C354" descr="core_image_url__exec_download_1671013397"/>
        <xdr:cNvPicPr/>
      </xdr:nvPicPr>
      <xdr:blipFill>
        <a:blip r:embed="rId180"/>
        <a:stretch>
          <a:fillRect/>
        </a:stretch>
      </xdr:blipFill>
      <xdr:spPr>
        <a:xfrm>
          <a:off x="0" y="0"/>
          <a:ext cx="388620" cy="304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640715</xdr:colOff>
      <xdr:row>1</xdr:row>
      <xdr:rowOff>106045</xdr:rowOff>
    </xdr:to>
    <xdr:pic>
      <xdr:nvPicPr>
        <xdr:cNvPr id="515" name="ID_EADDC4F7F1D74F5F920CE5252B711C5C" descr="109"/>
        <xdr:cNvPicPr/>
      </xdr:nvPicPr>
      <xdr:blipFill>
        <a:blip r:embed="rId181"/>
        <a:srcRect/>
        <a:stretch>
          <a:fillRect/>
        </a:stretch>
      </xdr:blipFill>
      <xdr:spPr>
        <a:xfrm>
          <a:off x="1782445" y="182903495"/>
          <a:ext cx="640715" cy="319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485775</xdr:colOff>
      <xdr:row>1</xdr:row>
      <xdr:rowOff>130175</xdr:rowOff>
    </xdr:to>
    <xdr:pic>
      <xdr:nvPicPr>
        <xdr:cNvPr id="510" name="ID_48074A1BA372444A9163A579C7D85792" descr="154"/>
        <xdr:cNvPicPr/>
      </xdr:nvPicPr>
      <xdr:blipFill>
        <a:blip r:embed="rId182"/>
        <a:srcRect/>
        <a:stretch>
          <a:fillRect/>
        </a:stretch>
      </xdr:blipFill>
      <xdr:spPr>
        <a:xfrm>
          <a:off x="1782445" y="179092225"/>
          <a:ext cx="485775" cy="343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497205</xdr:colOff>
      <xdr:row>1</xdr:row>
      <xdr:rowOff>122555</xdr:rowOff>
    </xdr:to>
    <xdr:pic>
      <xdr:nvPicPr>
        <xdr:cNvPr id="508" name="ID_1BD2E008A7F24FB79BD1FC4170327770" descr="152"/>
        <xdr:cNvPicPr/>
      </xdr:nvPicPr>
      <xdr:blipFill>
        <a:blip r:embed="rId183"/>
        <a:srcRect/>
        <a:stretch>
          <a:fillRect/>
        </a:stretch>
      </xdr:blipFill>
      <xdr:spPr>
        <a:xfrm>
          <a:off x="1772920" y="178329590"/>
          <a:ext cx="497205" cy="335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375285</xdr:colOff>
      <xdr:row>4</xdr:row>
      <xdr:rowOff>136525</xdr:rowOff>
    </xdr:to>
    <xdr:pic>
      <xdr:nvPicPr>
        <xdr:cNvPr id="38" name="ID_7368D67FAC9841568571895A48D76974" descr="core_image_url__exec_download_2294623308"/>
        <xdr:cNvPicPr/>
      </xdr:nvPicPr>
      <xdr:blipFill>
        <a:blip r:embed="rId184"/>
        <a:stretch>
          <a:fillRect/>
        </a:stretch>
      </xdr:blipFill>
      <xdr:spPr>
        <a:xfrm>
          <a:off x="0" y="0"/>
          <a:ext cx="1143000" cy="9899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532765</xdr:colOff>
      <xdr:row>1</xdr:row>
      <xdr:rowOff>160655</xdr:rowOff>
    </xdr:to>
    <xdr:pic>
      <xdr:nvPicPr>
        <xdr:cNvPr id="506" name="ID_A189CB5B1D2A4C9D8F53E90563B51672" descr="434"/>
        <xdr:cNvPicPr/>
      </xdr:nvPicPr>
      <xdr:blipFill>
        <a:blip r:embed="rId185"/>
        <a:srcRect/>
        <a:stretch>
          <a:fillRect/>
        </a:stretch>
      </xdr:blipFill>
      <xdr:spPr>
        <a:xfrm>
          <a:off x="1908175" y="177585370"/>
          <a:ext cx="532765" cy="37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598805</xdr:colOff>
      <xdr:row>1</xdr:row>
      <xdr:rowOff>103505</xdr:rowOff>
    </xdr:to>
    <xdr:pic>
      <xdr:nvPicPr>
        <xdr:cNvPr id="505" name="ID_C450F98022D54943A6A0ED64E6810298" descr="388"/>
        <xdr:cNvPicPr/>
      </xdr:nvPicPr>
      <xdr:blipFill>
        <a:blip r:embed="rId186"/>
        <a:srcRect/>
        <a:stretch>
          <a:fillRect/>
        </a:stretch>
      </xdr:blipFill>
      <xdr:spPr>
        <a:xfrm>
          <a:off x="1898650" y="177213260"/>
          <a:ext cx="598805" cy="316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335280</xdr:colOff>
      <xdr:row>1</xdr:row>
      <xdr:rowOff>133985</xdr:rowOff>
    </xdr:to>
    <xdr:pic>
      <xdr:nvPicPr>
        <xdr:cNvPr id="490" name="ID_E2EE666AFF8E4FA780FD3B9FA1B13041" descr="444"/>
        <xdr:cNvPicPr/>
      </xdr:nvPicPr>
      <xdr:blipFill>
        <a:blip r:embed="rId187"/>
        <a:srcRect/>
        <a:stretch>
          <a:fillRect/>
        </a:stretch>
      </xdr:blipFill>
      <xdr:spPr>
        <a:xfrm>
          <a:off x="1852930" y="170063160"/>
          <a:ext cx="335280" cy="3473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358140</xdr:colOff>
      <xdr:row>1</xdr:row>
      <xdr:rowOff>106045</xdr:rowOff>
    </xdr:to>
    <xdr:pic>
      <xdr:nvPicPr>
        <xdr:cNvPr id="106" name="ID_1C8F96F1DE814E548F768FDF535080DD" descr="core_image_url__exec_download_48927406"/>
        <xdr:cNvPicPr/>
      </xdr:nvPicPr>
      <xdr:blipFill>
        <a:blip r:embed="rId188"/>
        <a:stretch>
          <a:fillRect/>
        </a:stretch>
      </xdr:blipFill>
      <xdr:spPr>
        <a:xfrm>
          <a:off x="0" y="0"/>
          <a:ext cx="358140" cy="3194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571500</xdr:colOff>
      <xdr:row>1</xdr:row>
      <xdr:rowOff>76200</xdr:rowOff>
    </xdr:to>
    <xdr:pic>
      <xdr:nvPicPr>
        <xdr:cNvPr id="87" name="ID_4DDE8DD47DD9491C9BFCB301B07C50B9" descr="core_image_url__exec_download_3532826072"/>
        <xdr:cNvPicPr/>
      </xdr:nvPicPr>
      <xdr:blipFill>
        <a:blip r:embed="rId189"/>
        <a:stretch>
          <a:fillRect/>
        </a:stretch>
      </xdr:blipFill>
      <xdr:spPr>
        <a:xfrm>
          <a:off x="0" y="0"/>
          <a:ext cx="571500" cy="289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393065</xdr:colOff>
      <xdr:row>0</xdr:row>
      <xdr:rowOff>198120</xdr:rowOff>
    </xdr:to>
    <xdr:pic>
      <xdr:nvPicPr>
        <xdr:cNvPr id="315" name="ID_2C0AA96967D14907A2B8625882BC7C94" descr="245"/>
        <xdr:cNvPicPr/>
      </xdr:nvPicPr>
      <xdr:blipFill>
        <a:blip r:embed="rId190"/>
        <a:srcRect/>
        <a:stretch>
          <a:fillRect/>
        </a:stretch>
      </xdr:blipFill>
      <xdr:spPr>
        <a:xfrm>
          <a:off x="1761490" y="127347980"/>
          <a:ext cx="1160780" cy="198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655320</xdr:colOff>
      <xdr:row>1</xdr:row>
      <xdr:rowOff>147955</xdr:rowOff>
    </xdr:to>
    <xdr:pic>
      <xdr:nvPicPr>
        <xdr:cNvPr id="503" name="ID_9DEF6B4135A244FEBA4C2775A31CFE0F" descr="433"/>
        <xdr:cNvPicPr/>
      </xdr:nvPicPr>
      <xdr:blipFill>
        <a:blip r:embed="rId191"/>
        <a:srcRect/>
        <a:stretch>
          <a:fillRect/>
        </a:stretch>
      </xdr:blipFill>
      <xdr:spPr>
        <a:xfrm>
          <a:off x="1776095" y="176047400"/>
          <a:ext cx="655320" cy="3613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470535</xdr:colOff>
      <xdr:row>1</xdr:row>
      <xdr:rowOff>110490</xdr:rowOff>
    </xdr:to>
    <xdr:pic>
      <xdr:nvPicPr>
        <xdr:cNvPr id="60" name="ID_D7CD74B4808343C8AF7EE1E6B7CC5313" descr="core_image_url__exec_download_3174010914"/>
        <xdr:cNvPicPr/>
      </xdr:nvPicPr>
      <xdr:blipFill>
        <a:blip r:embed="rId192"/>
        <a:stretch>
          <a:fillRect/>
        </a:stretch>
      </xdr:blipFill>
      <xdr:spPr>
        <a:xfrm>
          <a:off x="0" y="0"/>
          <a:ext cx="1238250" cy="323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92075</xdr:colOff>
      <xdr:row>1</xdr:row>
      <xdr:rowOff>180975</xdr:rowOff>
    </xdr:to>
    <xdr:pic>
      <xdr:nvPicPr>
        <xdr:cNvPr id="54" name="ID_0A1C5535F2DF40FC8D2BF4CF1FB91355" descr="553"/>
        <xdr:cNvPicPr/>
      </xdr:nvPicPr>
      <xdr:blipFill>
        <a:blip r:embed="rId68"/>
        <a:srcRect/>
        <a:stretch>
          <a:fillRect/>
        </a:stretch>
      </xdr:blipFill>
      <xdr:spPr>
        <a:xfrm>
          <a:off x="1817370" y="12611100"/>
          <a:ext cx="859790" cy="3943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647700</xdr:colOff>
      <xdr:row>2</xdr:row>
      <xdr:rowOff>11430</xdr:rowOff>
    </xdr:to>
    <xdr:pic>
      <xdr:nvPicPr>
        <xdr:cNvPr id="16" name="ID_284FDB9BDDC84AF6A68CD6C0BBDF20EF" descr="core_image_url__exec_download_2681606680"/>
        <xdr:cNvPicPr/>
      </xdr:nvPicPr>
      <xdr:blipFill>
        <a:blip r:embed="rId193"/>
        <a:stretch>
          <a:fillRect/>
        </a:stretch>
      </xdr:blipFill>
      <xdr:spPr>
        <a:xfrm>
          <a:off x="0" y="0"/>
          <a:ext cx="647700" cy="438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506095</xdr:colOff>
      <xdr:row>1</xdr:row>
      <xdr:rowOff>40005</xdr:rowOff>
    </xdr:to>
    <xdr:pic>
      <xdr:nvPicPr>
        <xdr:cNvPr id="391" name="ID_8EBEA4AA52C140C69A633C136B76B1CF" descr="80"/>
        <xdr:cNvPicPr/>
      </xdr:nvPicPr>
      <xdr:blipFill>
        <a:blip r:embed="rId194"/>
        <a:srcRect/>
        <a:stretch>
          <a:fillRect/>
        </a:stretch>
      </xdr:blipFill>
      <xdr:spPr>
        <a:xfrm>
          <a:off x="1793240" y="149408515"/>
          <a:ext cx="506095" cy="253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598805</xdr:colOff>
      <xdr:row>1</xdr:row>
      <xdr:rowOff>145415</xdr:rowOff>
    </xdr:to>
    <xdr:pic>
      <xdr:nvPicPr>
        <xdr:cNvPr id="390" name="ID_C4349AA59A7142DAB694F9E84637B12E" descr="46"/>
        <xdr:cNvPicPr/>
      </xdr:nvPicPr>
      <xdr:blipFill>
        <a:blip r:embed="rId195"/>
        <a:srcRect/>
        <a:stretch>
          <a:fillRect/>
        </a:stretch>
      </xdr:blipFill>
      <xdr:spPr>
        <a:xfrm>
          <a:off x="1779270" y="148979890"/>
          <a:ext cx="598805" cy="3587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672465</xdr:colOff>
      <xdr:row>4</xdr:row>
      <xdr:rowOff>51435</xdr:rowOff>
    </xdr:to>
    <xdr:pic>
      <xdr:nvPicPr>
        <xdr:cNvPr id="10" name="ID_5CBA941F17A24B5BA6106624E4E0C5E0" descr="core_image_url__exec_download_1907238555"/>
        <xdr:cNvPicPr/>
      </xdr:nvPicPr>
      <xdr:blipFill>
        <a:blip r:embed="rId196"/>
        <a:stretch>
          <a:fillRect/>
        </a:stretch>
      </xdr:blipFill>
      <xdr:spPr>
        <a:xfrm>
          <a:off x="0" y="0"/>
          <a:ext cx="3743325" cy="904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66040</xdr:colOff>
      <xdr:row>1</xdr:row>
      <xdr:rowOff>59690</xdr:rowOff>
    </xdr:to>
    <xdr:pic>
      <xdr:nvPicPr>
        <xdr:cNvPr id="387" name="ID_CB69F445EA3A46BBBEBBE9E217791437" descr="45"/>
        <xdr:cNvPicPr/>
      </xdr:nvPicPr>
      <xdr:blipFill>
        <a:blip r:embed="rId197"/>
        <a:srcRect/>
        <a:stretch>
          <a:fillRect/>
        </a:stretch>
      </xdr:blipFill>
      <xdr:spPr>
        <a:xfrm>
          <a:off x="1749425" y="148275675"/>
          <a:ext cx="833755" cy="273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551815</xdr:colOff>
      <xdr:row>1</xdr:row>
      <xdr:rowOff>85725</xdr:rowOff>
    </xdr:to>
    <xdr:pic>
      <xdr:nvPicPr>
        <xdr:cNvPr id="631" name="ID_C8256EEEBC4C4B0E8DE316B27823D907" descr="480"/>
        <xdr:cNvPicPr/>
      </xdr:nvPicPr>
      <xdr:blipFill>
        <a:blip r:embed="rId198"/>
        <a:srcRect/>
        <a:stretch>
          <a:fillRect/>
        </a:stretch>
      </xdr:blipFill>
      <xdr:spPr>
        <a:xfrm>
          <a:off x="1756410" y="238892080"/>
          <a:ext cx="1319530" cy="2990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232410</xdr:colOff>
      <xdr:row>1</xdr:row>
      <xdr:rowOff>186690</xdr:rowOff>
    </xdr:to>
    <xdr:pic>
      <xdr:nvPicPr>
        <xdr:cNvPr id="134" name="ID_6048FF615F58488E8FA3AD46D78446F1" descr="core_image_url__exec_download_357603563"/>
        <xdr:cNvPicPr/>
      </xdr:nvPicPr>
      <xdr:blipFill>
        <a:blip r:embed="rId199"/>
        <a:stretch>
          <a:fillRect/>
        </a:stretch>
      </xdr:blipFill>
      <xdr:spPr>
        <a:xfrm>
          <a:off x="0" y="0"/>
          <a:ext cx="1000125" cy="400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651510</xdr:colOff>
      <xdr:row>1</xdr:row>
      <xdr:rowOff>163830</xdr:rowOff>
    </xdr:to>
    <xdr:pic>
      <xdr:nvPicPr>
        <xdr:cNvPr id="316" name="ID_957A2CC88C1C41BFA595492365034387" descr="574"/>
        <xdr:cNvPicPr/>
      </xdr:nvPicPr>
      <xdr:blipFill>
        <a:blip r:embed="rId200"/>
        <a:srcRect/>
        <a:stretch>
          <a:fillRect/>
        </a:stretch>
      </xdr:blipFill>
      <xdr:spPr>
        <a:xfrm>
          <a:off x="1891030" y="79749015"/>
          <a:ext cx="651510" cy="3771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582930</xdr:colOff>
      <xdr:row>1</xdr:row>
      <xdr:rowOff>57785</xdr:rowOff>
    </xdr:to>
    <xdr:pic>
      <xdr:nvPicPr>
        <xdr:cNvPr id="431" name="ID_BED02009752D47C686D5C4481500D98D" descr="41"/>
        <xdr:cNvPicPr/>
      </xdr:nvPicPr>
      <xdr:blipFill>
        <a:blip r:embed="rId201"/>
        <a:srcRect/>
        <a:stretch>
          <a:fillRect/>
        </a:stretch>
      </xdr:blipFill>
      <xdr:spPr>
        <a:xfrm>
          <a:off x="1783715" y="146741515"/>
          <a:ext cx="582930" cy="2711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280035</xdr:colOff>
      <xdr:row>1</xdr:row>
      <xdr:rowOff>172720</xdr:rowOff>
    </xdr:to>
    <xdr:pic>
      <xdr:nvPicPr>
        <xdr:cNvPr id="560" name="ID_F5502E9F134B4B459B372CC92F53BEFE" descr="28"/>
        <xdr:cNvPicPr/>
      </xdr:nvPicPr>
      <xdr:blipFill>
        <a:blip r:embed="rId202"/>
        <a:srcRect/>
        <a:stretch>
          <a:fillRect/>
        </a:stretch>
      </xdr:blipFill>
      <xdr:spPr>
        <a:xfrm>
          <a:off x="1840865" y="202319890"/>
          <a:ext cx="1047750" cy="3860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541655</xdr:colOff>
      <xdr:row>1</xdr:row>
      <xdr:rowOff>139700</xdr:rowOff>
    </xdr:to>
    <xdr:pic>
      <xdr:nvPicPr>
        <xdr:cNvPr id="266" name="ID_41CB2EBEF18244D2877B24FAF3FFED91" descr="136"/>
        <xdr:cNvPicPr/>
      </xdr:nvPicPr>
      <xdr:blipFill>
        <a:blip r:embed="rId203"/>
        <a:srcRect/>
        <a:stretch>
          <a:fillRect/>
        </a:stretch>
      </xdr:blipFill>
      <xdr:spPr>
        <a:xfrm>
          <a:off x="1904365" y="101401245"/>
          <a:ext cx="541655" cy="35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384810</xdr:colOff>
      <xdr:row>4</xdr:row>
      <xdr:rowOff>60960</xdr:rowOff>
    </xdr:to>
    <xdr:pic>
      <xdr:nvPicPr>
        <xdr:cNvPr id="46" name="ID_20A54B1902BB4290A406C1FE14DA9AB2" descr="core_image_url__exec_download_2925760270"/>
        <xdr:cNvPicPr/>
      </xdr:nvPicPr>
      <xdr:blipFill>
        <a:blip r:embed="rId204"/>
        <a:stretch>
          <a:fillRect/>
        </a:stretch>
      </xdr:blipFill>
      <xdr:spPr>
        <a:xfrm>
          <a:off x="0" y="0"/>
          <a:ext cx="192024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602615</xdr:colOff>
      <xdr:row>1</xdr:row>
      <xdr:rowOff>68580</xdr:rowOff>
    </xdr:to>
    <xdr:pic>
      <xdr:nvPicPr>
        <xdr:cNvPr id="379" name="ID_215EA14C5DF341DF8885ACF780EA38D1" descr="40"/>
        <xdr:cNvPicPr/>
      </xdr:nvPicPr>
      <xdr:blipFill>
        <a:blip r:embed="rId205"/>
        <a:srcRect/>
        <a:stretch>
          <a:fillRect/>
        </a:stretch>
      </xdr:blipFill>
      <xdr:spPr>
        <a:xfrm>
          <a:off x="1783715" y="146380200"/>
          <a:ext cx="602615" cy="281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528955</xdr:colOff>
      <xdr:row>1</xdr:row>
      <xdr:rowOff>127635</xdr:rowOff>
    </xdr:to>
    <xdr:pic>
      <xdr:nvPicPr>
        <xdr:cNvPr id="366" name="ID_04017A09117F4A64AD99CD350E6ABA21" descr="371"/>
        <xdr:cNvPicPr/>
      </xdr:nvPicPr>
      <xdr:blipFill>
        <a:blip r:embed="rId206"/>
        <a:srcRect/>
        <a:stretch>
          <a:fillRect/>
        </a:stretch>
      </xdr:blipFill>
      <xdr:spPr>
        <a:xfrm>
          <a:off x="1799590" y="142254605"/>
          <a:ext cx="528955" cy="3409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501650</xdr:colOff>
      <xdr:row>1</xdr:row>
      <xdr:rowOff>131445</xdr:rowOff>
    </xdr:to>
    <xdr:pic>
      <xdr:nvPicPr>
        <xdr:cNvPr id="375" name="ID_9FEEA24AFAD44B60992FD79207F1CFCF" descr="35"/>
        <xdr:cNvPicPr/>
      </xdr:nvPicPr>
      <xdr:blipFill>
        <a:blip r:embed="rId207"/>
        <a:srcRect/>
        <a:stretch>
          <a:fillRect/>
        </a:stretch>
      </xdr:blipFill>
      <xdr:spPr>
        <a:xfrm>
          <a:off x="1802765" y="144407890"/>
          <a:ext cx="501650" cy="3448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525145</xdr:colOff>
      <xdr:row>1</xdr:row>
      <xdr:rowOff>113665</xdr:rowOff>
    </xdr:to>
    <xdr:pic>
      <xdr:nvPicPr>
        <xdr:cNvPr id="372" name="ID_E6FDE244BB3C4FC4943B60B840406808" descr="31"/>
        <xdr:cNvPicPr/>
      </xdr:nvPicPr>
      <xdr:blipFill>
        <a:blip r:embed="rId208"/>
        <a:srcRect/>
        <a:stretch>
          <a:fillRect/>
        </a:stretch>
      </xdr:blipFill>
      <xdr:spPr>
        <a:xfrm>
          <a:off x="1802765" y="142912465"/>
          <a:ext cx="525145" cy="3270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495300</xdr:colOff>
      <xdr:row>2</xdr:row>
      <xdr:rowOff>11430</xdr:rowOff>
    </xdr:to>
    <xdr:pic>
      <xdr:nvPicPr>
        <xdr:cNvPr id="495" name="ID_62B5D0933CFB4579B8FD279A765F2269" descr="core_image_url__exec_download_2543410950"/>
        <xdr:cNvPicPr/>
      </xdr:nvPicPr>
      <xdr:blipFill>
        <a:blip r:embed="rId209"/>
        <a:stretch>
          <a:fillRect/>
        </a:stretch>
      </xdr:blipFill>
      <xdr:spPr>
        <a:xfrm>
          <a:off x="0" y="0"/>
          <a:ext cx="495300" cy="438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184785</xdr:colOff>
      <xdr:row>4</xdr:row>
      <xdr:rowOff>142240</xdr:rowOff>
    </xdr:to>
    <xdr:pic>
      <xdr:nvPicPr>
        <xdr:cNvPr id="279" name="ID_848DC94910274552A988D91126DA8BAB" descr="199"/>
        <xdr:cNvPicPr/>
      </xdr:nvPicPr>
      <xdr:blipFill>
        <a:blip r:embed="rId210"/>
        <a:srcRect/>
        <a:stretch>
          <a:fillRect/>
        </a:stretch>
      </xdr:blipFill>
      <xdr:spPr>
        <a:xfrm>
          <a:off x="5313680" y="227352225"/>
          <a:ext cx="1720215" cy="995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537210</xdr:colOff>
      <xdr:row>4</xdr:row>
      <xdr:rowOff>170815</xdr:rowOff>
    </xdr:to>
    <xdr:pic>
      <xdr:nvPicPr>
        <xdr:cNvPr id="335" name="ID_93D7F8F2BD7646C586B73CD2CFE43B33" descr="198"/>
        <xdr:cNvPicPr/>
      </xdr:nvPicPr>
      <xdr:blipFill>
        <a:blip r:embed="rId211"/>
        <a:srcRect/>
        <a:stretch>
          <a:fillRect/>
        </a:stretch>
      </xdr:blipFill>
      <xdr:spPr>
        <a:xfrm>
          <a:off x="5400040" y="226329875"/>
          <a:ext cx="1304925" cy="1024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563245</xdr:colOff>
      <xdr:row>1</xdr:row>
      <xdr:rowOff>151130</xdr:rowOff>
    </xdr:to>
    <xdr:pic>
      <xdr:nvPicPr>
        <xdr:cNvPr id="418" name="ID_A750EAB51F874C45A986B3E6437E05A6" descr="105"/>
        <xdr:cNvPicPr/>
      </xdr:nvPicPr>
      <xdr:blipFill>
        <a:blip r:embed="rId212"/>
        <a:srcRect/>
        <a:stretch>
          <a:fillRect/>
        </a:stretch>
      </xdr:blipFill>
      <xdr:spPr>
        <a:xfrm>
          <a:off x="1767205" y="139457430"/>
          <a:ext cx="563245" cy="3644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211455</xdr:colOff>
      <xdr:row>8</xdr:row>
      <xdr:rowOff>76200</xdr:rowOff>
    </xdr:to>
    <xdr:pic>
      <xdr:nvPicPr>
        <xdr:cNvPr id="577" name="ID_37AA8C174DFE4D1EA7DF8B0EA26B84DF" descr="core_image_url__exec_download_4210492337"/>
        <xdr:cNvPicPr/>
      </xdr:nvPicPr>
      <xdr:blipFill>
        <a:blip r:embed="rId213"/>
        <a:stretch>
          <a:fillRect/>
        </a:stretch>
      </xdr:blipFill>
      <xdr:spPr>
        <a:xfrm>
          <a:off x="0" y="0"/>
          <a:ext cx="2514600" cy="1783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411480</xdr:colOff>
      <xdr:row>1</xdr:row>
      <xdr:rowOff>113665</xdr:rowOff>
    </xdr:to>
    <xdr:pic>
      <xdr:nvPicPr>
        <xdr:cNvPr id="512" name="ID_53262CCE89014717AAF1ABFE6C1608D7" descr="156"/>
        <xdr:cNvPicPr/>
      </xdr:nvPicPr>
      <xdr:blipFill>
        <a:blip r:embed="rId214"/>
        <a:srcRect/>
        <a:stretch>
          <a:fillRect/>
        </a:stretch>
      </xdr:blipFill>
      <xdr:spPr>
        <a:xfrm>
          <a:off x="1791970" y="179852955"/>
          <a:ext cx="411480" cy="3270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486410</xdr:colOff>
      <xdr:row>1</xdr:row>
      <xdr:rowOff>105410</xdr:rowOff>
    </xdr:to>
    <xdr:pic>
      <xdr:nvPicPr>
        <xdr:cNvPr id="356" name="ID_77056350CE214A888574109EF046922D" descr="470"/>
        <xdr:cNvPicPr/>
      </xdr:nvPicPr>
      <xdr:blipFill>
        <a:blip r:embed="rId215"/>
        <a:srcRect/>
        <a:stretch>
          <a:fillRect/>
        </a:stretch>
      </xdr:blipFill>
      <xdr:spPr>
        <a:xfrm>
          <a:off x="1778000" y="139134850"/>
          <a:ext cx="486410" cy="3187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650875</xdr:colOff>
      <xdr:row>1</xdr:row>
      <xdr:rowOff>140335</xdr:rowOff>
    </xdr:to>
    <xdr:pic>
      <xdr:nvPicPr>
        <xdr:cNvPr id="556" name="ID_E644DF381C7D4EB3AFA007AC5D1EF070" descr="25"/>
        <xdr:cNvPicPr/>
      </xdr:nvPicPr>
      <xdr:blipFill>
        <a:blip r:embed="rId216"/>
        <a:srcRect/>
        <a:stretch>
          <a:fillRect/>
        </a:stretch>
      </xdr:blipFill>
      <xdr:spPr>
        <a:xfrm>
          <a:off x="1811020" y="201181970"/>
          <a:ext cx="650875" cy="3536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459740</xdr:colOff>
      <xdr:row>1</xdr:row>
      <xdr:rowOff>142875</xdr:rowOff>
    </xdr:to>
    <xdr:pic>
      <xdr:nvPicPr>
        <xdr:cNvPr id="339" name="ID_92817290954F40C280839ADD2C10E8D6" descr="148"/>
        <xdr:cNvPicPr/>
      </xdr:nvPicPr>
      <xdr:blipFill>
        <a:blip r:embed="rId217"/>
        <a:srcRect/>
        <a:stretch>
          <a:fillRect/>
        </a:stretch>
      </xdr:blipFill>
      <xdr:spPr>
        <a:xfrm>
          <a:off x="1827530" y="136413240"/>
          <a:ext cx="459740" cy="3562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502920</xdr:colOff>
      <xdr:row>1</xdr:row>
      <xdr:rowOff>112395</xdr:rowOff>
    </xdr:to>
    <xdr:pic>
      <xdr:nvPicPr>
        <xdr:cNvPr id="355" name="ID_BC054F1C36154103A6B0A21A78095B4B" descr="132"/>
        <xdr:cNvPicPr/>
      </xdr:nvPicPr>
      <xdr:blipFill>
        <a:blip r:embed="rId218"/>
        <a:srcRect/>
        <a:stretch>
          <a:fillRect/>
        </a:stretch>
      </xdr:blipFill>
      <xdr:spPr>
        <a:xfrm>
          <a:off x="1764030" y="99850575"/>
          <a:ext cx="502920" cy="3257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534035</xdr:colOff>
      <xdr:row>1</xdr:row>
      <xdr:rowOff>144780</xdr:rowOff>
    </xdr:to>
    <xdr:pic>
      <xdr:nvPicPr>
        <xdr:cNvPr id="472" name="ID_DD0B76B2C4424A59AE316E21F52CAA44" descr="201"/>
        <xdr:cNvPicPr>
          <a:picLocks noChangeAspect="1"/>
        </xdr:cNvPicPr>
      </xdr:nvPicPr>
      <xdr:blipFill>
        <a:blip r:embed="rId219"/>
        <a:srcRect/>
        <a:stretch>
          <a:fillRect/>
        </a:stretch>
      </xdr:blipFill>
      <xdr:spPr>
        <a:xfrm>
          <a:off x="1818005" y="134134860"/>
          <a:ext cx="534035" cy="358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540385</xdr:colOff>
      <xdr:row>1</xdr:row>
      <xdr:rowOff>123190</xdr:rowOff>
    </xdr:to>
    <xdr:pic>
      <xdr:nvPicPr>
        <xdr:cNvPr id="374" name="ID_3963225AFBA647F0973B686890ED700E" descr="33"/>
        <xdr:cNvPicPr/>
      </xdr:nvPicPr>
      <xdr:blipFill>
        <a:blip r:embed="rId220"/>
        <a:srcRect/>
        <a:stretch>
          <a:fillRect/>
        </a:stretch>
      </xdr:blipFill>
      <xdr:spPr>
        <a:xfrm>
          <a:off x="1812290" y="143665575"/>
          <a:ext cx="540385" cy="336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720725</xdr:colOff>
      <xdr:row>1</xdr:row>
      <xdr:rowOff>208915</xdr:rowOff>
    </xdr:to>
    <xdr:pic>
      <xdr:nvPicPr>
        <xdr:cNvPr id="445" name="ID_849A0785B66B4A6491EAF81FB3C408DB" descr="29"/>
        <xdr:cNvPicPr/>
      </xdr:nvPicPr>
      <xdr:blipFill>
        <a:blip r:embed="rId221"/>
        <a:srcRect/>
        <a:stretch>
          <a:fillRect/>
        </a:stretch>
      </xdr:blipFill>
      <xdr:spPr>
        <a:xfrm>
          <a:off x="1907540" y="94938850"/>
          <a:ext cx="720725" cy="4222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576580</xdr:colOff>
      <xdr:row>1</xdr:row>
      <xdr:rowOff>144780</xdr:rowOff>
    </xdr:to>
    <xdr:pic>
      <xdr:nvPicPr>
        <xdr:cNvPr id="501" name="ID_08769DA94F7D41B4B20DA46B2E01D6A1" descr="445"/>
        <xdr:cNvPicPr/>
      </xdr:nvPicPr>
      <xdr:blipFill>
        <a:blip r:embed="rId222"/>
        <a:srcRect/>
        <a:stretch>
          <a:fillRect/>
        </a:stretch>
      </xdr:blipFill>
      <xdr:spPr>
        <a:xfrm>
          <a:off x="1905635" y="173793785"/>
          <a:ext cx="576580" cy="358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266700</xdr:colOff>
      <xdr:row>1</xdr:row>
      <xdr:rowOff>68580</xdr:rowOff>
    </xdr:to>
    <xdr:pic>
      <xdr:nvPicPr>
        <xdr:cNvPr id="101" name="ID_FC1E1B01915549CBB5ABD064A2590BF9" descr="core_image_url__exec_download_2496753194"/>
        <xdr:cNvPicPr/>
      </xdr:nvPicPr>
      <xdr:blipFill>
        <a:blip r:embed="rId223"/>
        <a:stretch>
          <a:fillRect/>
        </a:stretch>
      </xdr:blipFill>
      <xdr:spPr>
        <a:xfrm>
          <a:off x="0" y="0"/>
          <a:ext cx="266700" cy="2819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480060</xdr:colOff>
      <xdr:row>1</xdr:row>
      <xdr:rowOff>114300</xdr:rowOff>
    </xdr:to>
    <xdr:pic>
      <xdr:nvPicPr>
        <xdr:cNvPr id="79" name="ID_4449BEB022A24FBE88189DDDE77AE6B0" descr="core_image_url__exec_download_4188341959"/>
        <xdr:cNvPicPr/>
      </xdr:nvPicPr>
      <xdr:blipFill>
        <a:blip r:embed="rId224"/>
        <a:stretch>
          <a:fillRect/>
        </a:stretch>
      </xdr:blipFill>
      <xdr:spPr>
        <a:xfrm>
          <a:off x="0" y="0"/>
          <a:ext cx="480060" cy="327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647700</xdr:colOff>
      <xdr:row>1</xdr:row>
      <xdr:rowOff>187960</xdr:rowOff>
    </xdr:to>
    <xdr:pic>
      <xdr:nvPicPr>
        <xdr:cNvPr id="467" name="ID_59A88A3DE2D44E529D87E0FDBB3F15F6" descr="420"/>
        <xdr:cNvPicPr/>
      </xdr:nvPicPr>
      <xdr:blipFill>
        <a:blip r:embed="rId225"/>
        <a:srcRect/>
        <a:stretch>
          <a:fillRect/>
        </a:stretch>
      </xdr:blipFill>
      <xdr:spPr>
        <a:xfrm>
          <a:off x="1746250" y="162687000"/>
          <a:ext cx="647700" cy="4013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550545</xdr:colOff>
      <xdr:row>1</xdr:row>
      <xdr:rowOff>144780</xdr:rowOff>
    </xdr:to>
    <xdr:pic>
      <xdr:nvPicPr>
        <xdr:cNvPr id="484" name="ID_68A825F8DA4F4BDF9500EC58B04EC10C" descr="core_image_url__exec_download_1585662553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2052320" y="165751510"/>
          <a:ext cx="550545" cy="3581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614680</xdr:colOff>
      <xdr:row>1</xdr:row>
      <xdr:rowOff>132715</xdr:rowOff>
    </xdr:to>
    <xdr:pic>
      <xdr:nvPicPr>
        <xdr:cNvPr id="321" name="ID_A255B9FD1F5E4D5DBC5DD8E556B52EDE" descr="253"/>
        <xdr:cNvPicPr/>
      </xdr:nvPicPr>
      <xdr:blipFill>
        <a:blip r:embed="rId227"/>
        <a:srcRect/>
        <a:stretch>
          <a:fillRect/>
        </a:stretch>
      </xdr:blipFill>
      <xdr:spPr>
        <a:xfrm>
          <a:off x="1809750" y="130345180"/>
          <a:ext cx="614680" cy="346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539750</xdr:colOff>
      <xdr:row>1</xdr:row>
      <xdr:rowOff>72390</xdr:rowOff>
    </xdr:to>
    <xdr:pic>
      <xdr:nvPicPr>
        <xdr:cNvPr id="482" name="ID_29FDFBDCFC3B4EF6BF2C20BCC6FF0459" descr="68"/>
        <xdr:cNvPicPr/>
      </xdr:nvPicPr>
      <xdr:blipFill>
        <a:blip r:embed="rId228"/>
        <a:srcRect/>
        <a:stretch>
          <a:fillRect/>
        </a:stretch>
      </xdr:blipFill>
      <xdr:spPr>
        <a:xfrm>
          <a:off x="1793240" y="165039675"/>
          <a:ext cx="539750" cy="2857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426720</xdr:colOff>
      <xdr:row>1</xdr:row>
      <xdr:rowOff>91440</xdr:rowOff>
    </xdr:to>
    <xdr:pic>
      <xdr:nvPicPr>
        <xdr:cNvPr id="409" name="ID_AA2B8A3A4BA045FBBDF686EF238146D8" descr="189"/>
        <xdr:cNvPicPr/>
      </xdr:nvPicPr>
      <xdr:blipFill>
        <a:blip r:embed="rId229"/>
        <a:srcRect/>
        <a:stretch>
          <a:fillRect/>
        </a:stretch>
      </xdr:blipFill>
      <xdr:spPr>
        <a:xfrm>
          <a:off x="1821180" y="142534005"/>
          <a:ext cx="426720" cy="304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666115</xdr:colOff>
      <xdr:row>1</xdr:row>
      <xdr:rowOff>149860</xdr:rowOff>
    </xdr:to>
    <xdr:pic>
      <xdr:nvPicPr>
        <xdr:cNvPr id="423" name="ID_46AF3F3708F24E9A957E6BFC23D00278" descr="217"/>
        <xdr:cNvPicPr/>
      </xdr:nvPicPr>
      <xdr:blipFill>
        <a:blip r:embed="rId230"/>
        <a:srcRect/>
        <a:stretch>
          <a:fillRect/>
        </a:stretch>
      </xdr:blipFill>
      <xdr:spPr>
        <a:xfrm>
          <a:off x="1781175" y="154331035"/>
          <a:ext cx="666115" cy="3632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458470</xdr:colOff>
      <xdr:row>1</xdr:row>
      <xdr:rowOff>146050</xdr:rowOff>
    </xdr:to>
    <xdr:pic>
      <xdr:nvPicPr>
        <xdr:cNvPr id="534" name="ID_D3AC61B70E1D4E4E95310224CDFF89C5" descr="432"/>
        <xdr:cNvPicPr/>
      </xdr:nvPicPr>
      <xdr:blipFill>
        <a:blip r:embed="rId175"/>
        <a:srcRect/>
        <a:stretch>
          <a:fillRect/>
        </a:stretch>
      </xdr:blipFill>
      <xdr:spPr>
        <a:xfrm>
          <a:off x="1746250" y="190119000"/>
          <a:ext cx="458470" cy="3594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488950</xdr:colOff>
      <xdr:row>1</xdr:row>
      <xdr:rowOff>149225</xdr:rowOff>
    </xdr:to>
    <xdr:pic>
      <xdr:nvPicPr>
        <xdr:cNvPr id="421" name="ID_47EA6FA0E5514D51A90BD7DED230056E" descr="428"/>
        <xdr:cNvPicPr/>
      </xdr:nvPicPr>
      <xdr:blipFill>
        <a:blip r:embed="rId231"/>
        <a:srcRect/>
        <a:stretch>
          <a:fillRect/>
        </a:stretch>
      </xdr:blipFill>
      <xdr:spPr>
        <a:xfrm>
          <a:off x="1746250" y="131826000"/>
          <a:ext cx="488950" cy="3625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563880</xdr:colOff>
      <xdr:row>5</xdr:row>
      <xdr:rowOff>171450</xdr:rowOff>
    </xdr:to>
    <xdr:pic>
      <xdr:nvPicPr>
        <xdr:cNvPr id="55" name="ID_3E15E7691C9C4E68874B37C84F6C2DEC" descr="core_image_url__exec_download_1866852453"/>
        <xdr:cNvPicPr/>
      </xdr:nvPicPr>
      <xdr:blipFill>
        <a:blip r:embed="rId232"/>
        <a:stretch>
          <a:fillRect/>
        </a:stretch>
      </xdr:blipFill>
      <xdr:spPr>
        <a:xfrm>
          <a:off x="0" y="0"/>
          <a:ext cx="2867025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401320</xdr:colOff>
      <xdr:row>1</xdr:row>
      <xdr:rowOff>90170</xdr:rowOff>
    </xdr:to>
    <xdr:pic>
      <xdr:nvPicPr>
        <xdr:cNvPr id="363" name="ID_CC6C6644365646B29F8F648D3E208FDE" descr="15"/>
        <xdr:cNvPicPr/>
      </xdr:nvPicPr>
      <xdr:blipFill>
        <a:blip r:embed="rId233"/>
        <a:srcRect/>
        <a:stretch>
          <a:fillRect/>
        </a:stretch>
      </xdr:blipFill>
      <xdr:spPr>
        <a:xfrm>
          <a:off x="1816100" y="134548880"/>
          <a:ext cx="401320" cy="3035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535305</xdr:colOff>
      <xdr:row>1</xdr:row>
      <xdr:rowOff>130175</xdr:rowOff>
    </xdr:to>
    <xdr:pic>
      <xdr:nvPicPr>
        <xdr:cNvPr id="523" name="ID_4E12436E880C405A9344B4D5CCF7C83B" descr="377"/>
        <xdr:cNvPicPr/>
      </xdr:nvPicPr>
      <xdr:blipFill>
        <a:blip r:embed="rId234"/>
        <a:srcRect/>
        <a:stretch>
          <a:fillRect/>
        </a:stretch>
      </xdr:blipFill>
      <xdr:spPr>
        <a:xfrm>
          <a:off x="1746250" y="186309000"/>
          <a:ext cx="535305" cy="343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130175</xdr:colOff>
      <xdr:row>1</xdr:row>
      <xdr:rowOff>169545</xdr:rowOff>
    </xdr:to>
    <xdr:pic>
      <xdr:nvPicPr>
        <xdr:cNvPr id="330" name="ID_39FA49E900AE43C3A3B7E3C78BE02D84" descr="566"/>
        <xdr:cNvPicPr/>
      </xdr:nvPicPr>
      <xdr:blipFill>
        <a:blip r:embed="rId235"/>
        <a:srcRect/>
        <a:stretch>
          <a:fillRect/>
        </a:stretch>
      </xdr:blipFill>
      <xdr:spPr>
        <a:xfrm>
          <a:off x="1805305" y="8382000"/>
          <a:ext cx="897890" cy="3829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384810</xdr:colOff>
      <xdr:row>11</xdr:row>
      <xdr:rowOff>2540</xdr:rowOff>
    </xdr:to>
    <xdr:pic>
      <xdr:nvPicPr>
        <xdr:cNvPr id="141" name="ID_7F52AE356F0C4F03B76987CF23D46B2B" descr="core_image_url__exec_download_1490268508"/>
        <xdr:cNvPicPr/>
      </xdr:nvPicPr>
      <xdr:blipFill>
        <a:blip r:embed="rId57"/>
        <a:stretch>
          <a:fillRect/>
        </a:stretch>
      </xdr:blipFill>
      <xdr:spPr>
        <a:xfrm>
          <a:off x="0" y="0"/>
          <a:ext cx="4991100" cy="2349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649605</xdr:colOff>
      <xdr:row>4</xdr:row>
      <xdr:rowOff>68580</xdr:rowOff>
    </xdr:to>
    <xdr:pic>
      <xdr:nvPicPr>
        <xdr:cNvPr id="44" name="ID_E22CA6C1F0BF4673B256E42E91A9115C" descr="core_image_url__exec_download_2166267079"/>
        <xdr:cNvPicPr/>
      </xdr:nvPicPr>
      <xdr:blipFill>
        <a:blip r:embed="rId236"/>
        <a:stretch>
          <a:fillRect/>
        </a:stretch>
      </xdr:blipFill>
      <xdr:spPr>
        <a:xfrm>
          <a:off x="0" y="0"/>
          <a:ext cx="1417320" cy="922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558800</xdr:colOff>
      <xdr:row>1</xdr:row>
      <xdr:rowOff>74930</xdr:rowOff>
    </xdr:to>
    <xdr:pic>
      <xdr:nvPicPr>
        <xdr:cNvPr id="240" name="ID_8BC67844762D4F2AADFD29CCBF231A6E" descr="339"/>
        <xdr:cNvPicPr/>
      </xdr:nvPicPr>
      <xdr:blipFill>
        <a:blip r:embed="rId237"/>
        <a:srcRect/>
        <a:stretch>
          <a:fillRect/>
        </a:stretch>
      </xdr:blipFill>
      <xdr:spPr>
        <a:xfrm>
          <a:off x="1767840" y="91508580"/>
          <a:ext cx="558800" cy="288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93345</xdr:colOff>
      <xdr:row>4</xdr:row>
      <xdr:rowOff>13335</xdr:rowOff>
    </xdr:to>
    <xdr:pic>
      <xdr:nvPicPr>
        <xdr:cNvPr id="53" name="ID_825FC1F3EE394CE096AD5C0F86CD5D54" descr="core_image_url__exec_download_2051323176"/>
        <xdr:cNvPicPr/>
      </xdr:nvPicPr>
      <xdr:blipFill>
        <a:blip r:embed="rId238"/>
        <a:stretch>
          <a:fillRect/>
        </a:stretch>
      </xdr:blipFill>
      <xdr:spPr>
        <a:xfrm>
          <a:off x="0" y="0"/>
          <a:ext cx="1628775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332740</xdr:colOff>
      <xdr:row>1</xdr:row>
      <xdr:rowOff>111760</xdr:rowOff>
    </xdr:to>
    <xdr:pic>
      <xdr:nvPicPr>
        <xdr:cNvPr id="350" name="ID_E2A027E6D379439084ED114FD90D7773" descr="252"/>
        <xdr:cNvPicPr/>
      </xdr:nvPicPr>
      <xdr:blipFill>
        <a:blip r:embed="rId239"/>
        <a:srcRect/>
        <a:stretch>
          <a:fillRect/>
        </a:stretch>
      </xdr:blipFill>
      <xdr:spPr>
        <a:xfrm>
          <a:off x="1814830" y="129935605"/>
          <a:ext cx="332740" cy="325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419735</xdr:colOff>
      <xdr:row>1</xdr:row>
      <xdr:rowOff>162560</xdr:rowOff>
    </xdr:to>
    <xdr:pic>
      <xdr:nvPicPr>
        <xdr:cNvPr id="2" name="ID_52D2BBEE1B644495993B806B553CCEE9" descr="550"/>
        <xdr:cNvPicPr/>
      </xdr:nvPicPr>
      <xdr:blipFill>
        <a:blip r:embed="rId240"/>
        <a:srcRect/>
        <a:stretch>
          <a:fillRect/>
        </a:stretch>
      </xdr:blipFill>
      <xdr:spPr>
        <a:xfrm>
          <a:off x="2175510" y="417830"/>
          <a:ext cx="419735" cy="375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51435</xdr:colOff>
      <xdr:row>1</xdr:row>
      <xdr:rowOff>159385</xdr:rowOff>
    </xdr:to>
    <xdr:pic>
      <xdr:nvPicPr>
        <xdr:cNvPr id="291" name="ID_0228C32636BB46D7B699B8293903BE69" descr="515"/>
        <xdr:cNvPicPr/>
      </xdr:nvPicPr>
      <xdr:blipFill>
        <a:blip r:embed="rId241"/>
        <a:srcRect/>
        <a:stretch>
          <a:fillRect/>
        </a:stretch>
      </xdr:blipFill>
      <xdr:spPr>
        <a:xfrm>
          <a:off x="1845945" y="107890310"/>
          <a:ext cx="819150" cy="3727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39370</xdr:colOff>
      <xdr:row>1</xdr:row>
      <xdr:rowOff>111760</xdr:rowOff>
    </xdr:to>
    <xdr:pic>
      <xdr:nvPicPr>
        <xdr:cNvPr id="306" name="ID_1947E64DB1094A678F7366DAF7D7D26A" descr="220"/>
        <xdr:cNvPicPr/>
      </xdr:nvPicPr>
      <xdr:blipFill>
        <a:blip r:embed="rId242"/>
        <a:srcRect/>
        <a:stretch>
          <a:fillRect/>
        </a:stretch>
      </xdr:blipFill>
      <xdr:spPr>
        <a:xfrm>
          <a:off x="1769110" y="125771275"/>
          <a:ext cx="807085" cy="325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596900</xdr:colOff>
      <xdr:row>1</xdr:row>
      <xdr:rowOff>193675</xdr:rowOff>
    </xdr:to>
    <xdr:pic>
      <xdr:nvPicPr>
        <xdr:cNvPr id="257" name="ID_A323400B39FE4B50889BB66C36E20D87" descr="93"/>
        <xdr:cNvPicPr/>
      </xdr:nvPicPr>
      <xdr:blipFill>
        <a:blip r:embed="rId243"/>
        <a:srcRect/>
        <a:stretch>
          <a:fillRect/>
        </a:stretch>
      </xdr:blipFill>
      <xdr:spPr>
        <a:xfrm>
          <a:off x="1856105" y="98740595"/>
          <a:ext cx="596900" cy="4070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375920</xdr:colOff>
      <xdr:row>3</xdr:row>
      <xdr:rowOff>121920</xdr:rowOff>
    </xdr:to>
    <xdr:pic>
      <xdr:nvPicPr>
        <xdr:cNvPr id="455" name="ID_4C87BA24316E4833B952CDDFD73EE56C" descr="core_image_url__exec_download_3042022295"/>
        <xdr:cNvPicPr/>
      </xdr:nvPicPr>
      <xdr:blipFill>
        <a:blip r:embed="rId244"/>
        <a:stretch>
          <a:fillRect/>
        </a:stretch>
      </xdr:blipFill>
      <xdr:spPr>
        <a:xfrm>
          <a:off x="0" y="0"/>
          <a:ext cx="1911350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381000</xdr:colOff>
      <xdr:row>1</xdr:row>
      <xdr:rowOff>121920</xdr:rowOff>
    </xdr:to>
    <xdr:pic>
      <xdr:nvPicPr>
        <xdr:cNvPr id="107" name="ID_3181554483E74267A8F611C67EDB0998" descr="core_image_url__exec_download_1733490117"/>
        <xdr:cNvPicPr/>
      </xdr:nvPicPr>
      <xdr:blipFill>
        <a:blip r:embed="rId245"/>
        <a:stretch>
          <a:fillRect/>
        </a:stretch>
      </xdr:blipFill>
      <xdr:spPr>
        <a:xfrm>
          <a:off x="0" y="0"/>
          <a:ext cx="381000" cy="335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15</xdr:row>
      <xdr:rowOff>0</xdr:rowOff>
    </xdr:to>
    <xdr:pic>
      <xdr:nvPicPr>
        <xdr:cNvPr id="669" name="ID_7A3510CCEFFB440C909F351CCB5EB9F2" descr="core_image_url__exec_download_2742852908"/>
        <xdr:cNvPicPr/>
      </xdr:nvPicPr>
      <xdr:blipFill>
        <a:blip r:embed="rId26"/>
        <a:stretch>
          <a:fillRect/>
        </a:stretch>
      </xdr:blipFill>
      <xdr:spPr>
        <a:xfrm>
          <a:off x="0" y="0"/>
          <a:ext cx="5105400" cy="3200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441960</xdr:colOff>
      <xdr:row>1</xdr:row>
      <xdr:rowOff>114300</xdr:rowOff>
    </xdr:to>
    <xdr:pic>
      <xdr:nvPicPr>
        <xdr:cNvPr id="98" name="ID_77585BC335C1425C949A42761BC9E1F4" descr="core_image_url__exec_download_3615933728"/>
        <xdr:cNvPicPr/>
      </xdr:nvPicPr>
      <xdr:blipFill>
        <a:blip r:embed="rId246"/>
        <a:stretch>
          <a:fillRect/>
        </a:stretch>
      </xdr:blipFill>
      <xdr:spPr>
        <a:xfrm>
          <a:off x="0" y="0"/>
          <a:ext cx="441960" cy="327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631190</xdr:colOff>
      <xdr:row>1</xdr:row>
      <xdr:rowOff>124460</xdr:rowOff>
    </xdr:to>
    <xdr:pic>
      <xdr:nvPicPr>
        <xdr:cNvPr id="225" name="ID_A40244EC4BFE4D87BE31B09E8D959EB0" descr="390"/>
        <xdr:cNvPicPr/>
      </xdr:nvPicPr>
      <xdr:blipFill>
        <a:blip r:embed="rId247"/>
        <a:srcRect/>
        <a:stretch>
          <a:fillRect/>
        </a:stretch>
      </xdr:blipFill>
      <xdr:spPr>
        <a:xfrm>
          <a:off x="1765300" y="87259795"/>
          <a:ext cx="631190" cy="3378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486410</xdr:colOff>
      <xdr:row>1</xdr:row>
      <xdr:rowOff>128270</xdr:rowOff>
    </xdr:to>
    <xdr:pic>
      <xdr:nvPicPr>
        <xdr:cNvPr id="345" name="ID_4C56CFFFE57745A68D1B9E72FB33E20B" descr="184"/>
        <xdr:cNvPicPr/>
      </xdr:nvPicPr>
      <xdr:blipFill>
        <a:blip r:embed="rId248"/>
        <a:srcRect/>
        <a:stretch>
          <a:fillRect/>
        </a:stretch>
      </xdr:blipFill>
      <xdr:spPr>
        <a:xfrm>
          <a:off x="1802765" y="137212705"/>
          <a:ext cx="486410" cy="3416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660400</xdr:colOff>
      <xdr:row>1</xdr:row>
      <xdr:rowOff>41275</xdr:rowOff>
    </xdr:to>
    <xdr:pic>
      <xdr:nvPicPr>
        <xdr:cNvPr id="385" name="ID_E5255C3E7FF943B3BBD6C8B7C2EC9A51" descr="265"/>
        <xdr:cNvPicPr/>
      </xdr:nvPicPr>
      <xdr:blipFill>
        <a:blip r:embed="rId249"/>
        <a:srcRect/>
        <a:stretch>
          <a:fillRect/>
        </a:stretch>
      </xdr:blipFill>
      <xdr:spPr>
        <a:xfrm>
          <a:off x="1776730" y="130747770"/>
          <a:ext cx="660400" cy="2546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502920</xdr:colOff>
      <xdr:row>1</xdr:row>
      <xdr:rowOff>99060</xdr:rowOff>
    </xdr:to>
    <xdr:pic>
      <xdr:nvPicPr>
        <xdr:cNvPr id="92" name="ID_83BC2A259B414E4E9C0C765E9351AA31" descr="core_image_url__exec_download_2053097429"/>
        <xdr:cNvPicPr/>
      </xdr:nvPicPr>
      <xdr:blipFill>
        <a:blip r:embed="rId250"/>
        <a:stretch>
          <a:fillRect/>
        </a:stretch>
      </xdr:blipFill>
      <xdr:spPr>
        <a:xfrm>
          <a:off x="0" y="0"/>
          <a:ext cx="502920" cy="3124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41275</xdr:colOff>
      <xdr:row>1</xdr:row>
      <xdr:rowOff>168275</xdr:rowOff>
    </xdr:to>
    <xdr:pic>
      <xdr:nvPicPr>
        <xdr:cNvPr id="579" name="ID_16D1E0CF57214F3EAC2AC27409134050" descr="2"/>
        <xdr:cNvPicPr/>
      </xdr:nvPicPr>
      <xdr:blipFill>
        <a:blip r:embed="rId164"/>
        <a:srcRect/>
        <a:stretch>
          <a:fillRect/>
        </a:stretch>
      </xdr:blipFill>
      <xdr:spPr>
        <a:xfrm>
          <a:off x="2042160" y="213444455"/>
          <a:ext cx="808990" cy="3816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551815</xdr:colOff>
      <xdr:row>1</xdr:row>
      <xdr:rowOff>122555</xdr:rowOff>
    </xdr:to>
    <xdr:pic>
      <xdr:nvPicPr>
        <xdr:cNvPr id="386" name="ID_433E2951C9B047B3B16C77C9FB710DAA" descr="44"/>
        <xdr:cNvPicPr/>
      </xdr:nvPicPr>
      <xdr:blipFill>
        <a:blip r:embed="rId251"/>
        <a:srcRect/>
        <a:stretch>
          <a:fillRect/>
        </a:stretch>
      </xdr:blipFill>
      <xdr:spPr>
        <a:xfrm>
          <a:off x="1769110" y="147854035"/>
          <a:ext cx="551815" cy="335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204470</xdr:colOff>
      <xdr:row>5</xdr:row>
      <xdr:rowOff>171450</xdr:rowOff>
    </xdr:to>
    <xdr:pic>
      <xdr:nvPicPr>
        <xdr:cNvPr id="241" name="ID_265A2FAF4529436DAE0CE7851E72034E" descr="core_image_url__exec_download_2924082117"/>
        <xdr:cNvPicPr/>
      </xdr:nvPicPr>
      <xdr:blipFill>
        <a:blip r:embed="rId252"/>
        <a:stretch>
          <a:fillRect/>
        </a:stretch>
      </xdr:blipFill>
      <xdr:spPr>
        <a:xfrm>
          <a:off x="0" y="0"/>
          <a:ext cx="1739900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461645</xdr:colOff>
      <xdr:row>1</xdr:row>
      <xdr:rowOff>121285</xdr:rowOff>
    </xdr:to>
    <xdr:pic>
      <xdr:nvPicPr>
        <xdr:cNvPr id="507" name="ID_A5812708033C4004A8E0D8BE29DE20E1" descr="151"/>
        <xdr:cNvPicPr/>
      </xdr:nvPicPr>
      <xdr:blipFill>
        <a:blip r:embed="rId253"/>
        <a:srcRect/>
        <a:stretch>
          <a:fillRect/>
        </a:stretch>
      </xdr:blipFill>
      <xdr:spPr>
        <a:xfrm>
          <a:off x="1840230" y="178019075"/>
          <a:ext cx="461645" cy="3346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381000</xdr:colOff>
      <xdr:row>1</xdr:row>
      <xdr:rowOff>91440</xdr:rowOff>
    </xdr:to>
    <xdr:pic>
      <xdr:nvPicPr>
        <xdr:cNvPr id="94" name="ID_5864639D55C6465CB7E261E7EEC39C02" descr="core_image_url__exec_download_2331954018"/>
        <xdr:cNvPicPr/>
      </xdr:nvPicPr>
      <xdr:blipFill>
        <a:blip r:embed="rId254"/>
        <a:stretch>
          <a:fillRect/>
        </a:stretch>
      </xdr:blipFill>
      <xdr:spPr>
        <a:xfrm>
          <a:off x="0" y="0"/>
          <a:ext cx="381000" cy="304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647700</xdr:colOff>
      <xdr:row>1</xdr:row>
      <xdr:rowOff>173355</xdr:rowOff>
    </xdr:to>
    <xdr:pic>
      <xdr:nvPicPr>
        <xdr:cNvPr id="367" name="ID_08B21F40E0194E86A83A83EA2F7EE5CC" descr="258"/>
        <xdr:cNvPicPr/>
      </xdr:nvPicPr>
      <xdr:blipFill>
        <a:blip r:embed="rId255"/>
        <a:srcRect/>
        <a:stretch>
          <a:fillRect/>
        </a:stretch>
      </xdr:blipFill>
      <xdr:spPr>
        <a:xfrm>
          <a:off x="1754505" y="128004570"/>
          <a:ext cx="647700" cy="3867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455295</xdr:colOff>
      <xdr:row>1</xdr:row>
      <xdr:rowOff>148590</xdr:rowOff>
    </xdr:to>
    <xdr:pic>
      <xdr:nvPicPr>
        <xdr:cNvPr id="582" name="ID_A92252161256444F8891A1E73022EF0E" descr="1"/>
        <xdr:cNvPicPr/>
      </xdr:nvPicPr>
      <xdr:blipFill>
        <a:blip r:embed="rId256"/>
        <a:srcRect/>
        <a:stretch>
          <a:fillRect/>
        </a:stretch>
      </xdr:blipFill>
      <xdr:spPr>
        <a:xfrm>
          <a:off x="2188845" y="214283290"/>
          <a:ext cx="455295" cy="36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69215</xdr:colOff>
      <xdr:row>1</xdr:row>
      <xdr:rowOff>132080</xdr:rowOff>
    </xdr:to>
    <xdr:pic>
      <xdr:nvPicPr>
        <xdr:cNvPr id="250" name="ID_2D1A7123F1954634BC29DD1E8C556D93" descr="30"/>
        <xdr:cNvPicPr/>
      </xdr:nvPicPr>
      <xdr:blipFill>
        <a:blip r:embed="rId257"/>
        <a:srcRect/>
        <a:stretch>
          <a:fillRect/>
        </a:stretch>
      </xdr:blipFill>
      <xdr:spPr>
        <a:xfrm>
          <a:off x="1990090" y="97594420"/>
          <a:ext cx="836930" cy="3454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506730</xdr:colOff>
      <xdr:row>6</xdr:row>
      <xdr:rowOff>72390</xdr:rowOff>
    </xdr:to>
    <xdr:pic>
      <xdr:nvPicPr>
        <xdr:cNvPr id="71" name="ID_190AE47166E84379850D914BEC461BD8" descr="core_image_url__exec_download_2595057741"/>
        <xdr:cNvPicPr/>
      </xdr:nvPicPr>
      <xdr:blipFill>
        <a:blip r:embed="rId258"/>
        <a:stretch>
          <a:fillRect/>
        </a:stretch>
      </xdr:blipFill>
      <xdr:spPr>
        <a:xfrm>
          <a:off x="0" y="0"/>
          <a:ext cx="2809875" cy="1352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379095</xdr:colOff>
      <xdr:row>1</xdr:row>
      <xdr:rowOff>156845</xdr:rowOff>
    </xdr:to>
    <xdr:pic>
      <xdr:nvPicPr>
        <xdr:cNvPr id="344" name="ID_AEF55545144B465FB8E383D3698B6258" descr="149"/>
        <xdr:cNvPicPr/>
      </xdr:nvPicPr>
      <xdr:blipFill>
        <a:blip r:embed="rId259"/>
        <a:srcRect/>
        <a:stretch>
          <a:fillRect/>
        </a:stretch>
      </xdr:blipFill>
      <xdr:spPr>
        <a:xfrm>
          <a:off x="1932940" y="136910445"/>
          <a:ext cx="379095" cy="37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335280</xdr:colOff>
      <xdr:row>1</xdr:row>
      <xdr:rowOff>108585</xdr:rowOff>
    </xdr:to>
    <xdr:pic>
      <xdr:nvPicPr>
        <xdr:cNvPr id="420" name="ID_FAFCB14787F24F5FA27B2D48A4435405" descr="92"/>
        <xdr:cNvPicPr/>
      </xdr:nvPicPr>
      <xdr:blipFill>
        <a:blip r:embed="rId260"/>
        <a:srcRect/>
        <a:stretch>
          <a:fillRect/>
        </a:stretch>
      </xdr:blipFill>
      <xdr:spPr>
        <a:xfrm>
          <a:off x="1828165" y="152535890"/>
          <a:ext cx="335280" cy="3219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464185</xdr:colOff>
      <xdr:row>1</xdr:row>
      <xdr:rowOff>95885</xdr:rowOff>
    </xdr:to>
    <xdr:pic>
      <xdr:nvPicPr>
        <xdr:cNvPr id="357" name="ID_F8B7744F88414DF0A2E2004F2ACEEB28" descr="107"/>
        <xdr:cNvPicPr/>
      </xdr:nvPicPr>
      <xdr:blipFill>
        <a:blip r:embed="rId261"/>
        <a:srcRect/>
        <a:stretch>
          <a:fillRect/>
        </a:stretch>
      </xdr:blipFill>
      <xdr:spPr>
        <a:xfrm>
          <a:off x="1796415" y="140225145"/>
          <a:ext cx="464185" cy="3092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619125</xdr:colOff>
      <xdr:row>1</xdr:row>
      <xdr:rowOff>149860</xdr:rowOff>
    </xdr:to>
    <xdr:pic>
      <xdr:nvPicPr>
        <xdr:cNvPr id="269" name="ID_2F837DFA109345CE9CF3BFBF1A00A3A6" descr="419"/>
        <xdr:cNvPicPr/>
      </xdr:nvPicPr>
      <xdr:blipFill>
        <a:blip r:embed="rId262"/>
        <a:srcRect/>
        <a:stretch>
          <a:fillRect/>
        </a:stretch>
      </xdr:blipFill>
      <xdr:spPr>
        <a:xfrm>
          <a:off x="1804670" y="96115505"/>
          <a:ext cx="619125" cy="3632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146685</xdr:colOff>
      <xdr:row>4</xdr:row>
      <xdr:rowOff>156210</xdr:rowOff>
    </xdr:to>
    <xdr:pic>
      <xdr:nvPicPr>
        <xdr:cNvPr id="120" name="ID_2D8AB154ACCB45DEB77ADA75BFF00193" descr="core_image_url__exec_download_1841257504"/>
        <xdr:cNvPicPr/>
      </xdr:nvPicPr>
      <xdr:blipFill>
        <a:blip r:embed="rId263"/>
        <a:stretch>
          <a:fillRect/>
        </a:stretch>
      </xdr:blipFill>
      <xdr:spPr>
        <a:xfrm>
          <a:off x="0" y="0"/>
          <a:ext cx="914400" cy="1009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464820</xdr:colOff>
      <xdr:row>3</xdr:row>
      <xdr:rowOff>83820</xdr:rowOff>
    </xdr:to>
    <xdr:pic>
      <xdr:nvPicPr>
        <xdr:cNvPr id="121" name="ID_D8A7FD34744F4E96956053E41D2DF417" descr="core_image_url__exec_download_1654418651"/>
        <xdr:cNvPicPr/>
      </xdr:nvPicPr>
      <xdr:blipFill>
        <a:blip r:embed="rId264"/>
        <a:stretch>
          <a:fillRect/>
        </a:stretch>
      </xdr:blipFill>
      <xdr:spPr>
        <a:xfrm>
          <a:off x="0" y="0"/>
          <a:ext cx="2000250" cy="723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681355</xdr:colOff>
      <xdr:row>1</xdr:row>
      <xdr:rowOff>161925</xdr:rowOff>
    </xdr:to>
    <xdr:pic>
      <xdr:nvPicPr>
        <xdr:cNvPr id="286" name="ID_239AC3B41F8F4C11A6FD40E84F0375BC" descr="360"/>
        <xdr:cNvPicPr/>
      </xdr:nvPicPr>
      <xdr:blipFill>
        <a:blip r:embed="rId265"/>
        <a:srcRect/>
        <a:stretch>
          <a:fillRect/>
        </a:stretch>
      </xdr:blipFill>
      <xdr:spPr>
        <a:xfrm>
          <a:off x="2006600" y="110202980"/>
          <a:ext cx="681355" cy="3752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533400</xdr:colOff>
      <xdr:row>0</xdr:row>
      <xdr:rowOff>152400</xdr:rowOff>
    </xdr:to>
    <xdr:pic>
      <xdr:nvPicPr>
        <xdr:cNvPr id="116" name="ID_7C3A2A49317D401FA99A3B338B2AB15A" descr="core_image_url__exec_download_3634733830"/>
        <xdr:cNvPicPr/>
      </xdr:nvPicPr>
      <xdr:blipFill>
        <a:blip r:embed="rId266"/>
        <a:stretch>
          <a:fillRect/>
        </a:stretch>
      </xdr:blipFill>
      <xdr:spPr>
        <a:xfrm>
          <a:off x="0" y="0"/>
          <a:ext cx="533400" cy="15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666750</xdr:colOff>
      <xdr:row>3</xdr:row>
      <xdr:rowOff>45720</xdr:rowOff>
    </xdr:to>
    <xdr:pic>
      <xdr:nvPicPr>
        <xdr:cNvPr id="139" name="ID_7D9E357816E74FCA8B5E904E97E2756D" descr="core_image_url__exec_download_3496329061"/>
        <xdr:cNvPicPr/>
      </xdr:nvPicPr>
      <xdr:blipFill>
        <a:blip r:embed="rId267"/>
        <a:stretch>
          <a:fillRect/>
        </a:stretch>
      </xdr:blipFill>
      <xdr:spPr>
        <a:xfrm>
          <a:off x="0" y="0"/>
          <a:ext cx="66675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358140</xdr:colOff>
      <xdr:row>1</xdr:row>
      <xdr:rowOff>91440</xdr:rowOff>
    </xdr:to>
    <xdr:pic>
      <xdr:nvPicPr>
        <xdr:cNvPr id="113" name="ID_63391A5C5FF1459CB2BD0DB0275EFD20" descr="core_image_url__exec_download_175247228"/>
        <xdr:cNvPicPr/>
      </xdr:nvPicPr>
      <xdr:blipFill>
        <a:blip r:embed="rId268"/>
        <a:stretch>
          <a:fillRect/>
        </a:stretch>
      </xdr:blipFill>
      <xdr:spPr>
        <a:xfrm>
          <a:off x="0" y="0"/>
          <a:ext cx="358140" cy="304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302895</xdr:colOff>
      <xdr:row>4</xdr:row>
      <xdr:rowOff>165735</xdr:rowOff>
    </xdr:to>
    <xdr:pic>
      <xdr:nvPicPr>
        <xdr:cNvPr id="47" name="ID_BEF8C417B74B476B820DF9A0A7E57A2D" descr="core_image_url__exec_download_834873845"/>
        <xdr:cNvPicPr/>
      </xdr:nvPicPr>
      <xdr:blipFill>
        <a:blip r:embed="rId269"/>
        <a:stretch>
          <a:fillRect/>
        </a:stretch>
      </xdr:blipFill>
      <xdr:spPr>
        <a:xfrm>
          <a:off x="0" y="0"/>
          <a:ext cx="1838325" cy="1019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231775</xdr:colOff>
      <xdr:row>1</xdr:row>
      <xdr:rowOff>71120</xdr:rowOff>
    </xdr:to>
    <xdr:pic>
      <xdr:nvPicPr>
        <xdr:cNvPr id="545" name="ID_B853401B93AD4093B51C8039C6885BF5" descr="242"/>
        <xdr:cNvPicPr/>
      </xdr:nvPicPr>
      <xdr:blipFill>
        <a:blip r:embed="rId270"/>
        <a:srcRect/>
        <a:stretch>
          <a:fillRect/>
        </a:stretch>
      </xdr:blipFill>
      <xdr:spPr>
        <a:xfrm>
          <a:off x="1783715" y="197399275"/>
          <a:ext cx="999490" cy="2844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531495</xdr:colOff>
      <xdr:row>5</xdr:row>
      <xdr:rowOff>19050</xdr:rowOff>
    </xdr:to>
    <xdr:pic>
      <xdr:nvPicPr>
        <xdr:cNvPr id="313" name="ID_D8970659829D4359BC77705CA6B7A870" descr="core_image_url__exec_download_4113814441"/>
        <xdr:cNvPicPr/>
      </xdr:nvPicPr>
      <xdr:blipFill>
        <a:blip r:embed="rId271"/>
        <a:stretch>
          <a:fillRect/>
        </a:stretch>
      </xdr:blipFill>
      <xdr:spPr>
        <a:xfrm>
          <a:off x="0" y="0"/>
          <a:ext cx="2066925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441960</xdr:colOff>
      <xdr:row>1</xdr:row>
      <xdr:rowOff>45720</xdr:rowOff>
    </xdr:to>
    <xdr:pic>
      <xdr:nvPicPr>
        <xdr:cNvPr id="123" name="ID_95D0758A4B0A47799A57A7325837358E" descr="core_image_url__exec_download_339539480"/>
        <xdr:cNvPicPr/>
      </xdr:nvPicPr>
      <xdr:blipFill>
        <a:blip r:embed="rId272"/>
        <a:stretch>
          <a:fillRect/>
        </a:stretch>
      </xdr:blipFill>
      <xdr:spPr>
        <a:xfrm>
          <a:off x="0" y="0"/>
          <a:ext cx="441960" cy="259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696595</xdr:colOff>
      <xdr:row>0</xdr:row>
      <xdr:rowOff>213995</xdr:rowOff>
    </xdr:to>
    <xdr:pic>
      <xdr:nvPicPr>
        <xdr:cNvPr id="382" name="ID_2074B5A9EE704989B56D7D01F469B870" descr="522"/>
        <xdr:cNvPicPr/>
      </xdr:nvPicPr>
      <xdr:blipFill>
        <a:blip r:embed="rId273"/>
        <a:srcRect/>
        <a:stretch>
          <a:fillRect/>
        </a:stretch>
      </xdr:blipFill>
      <xdr:spPr>
        <a:xfrm>
          <a:off x="1771015" y="45043090"/>
          <a:ext cx="696595" cy="2139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561340</xdr:colOff>
      <xdr:row>1</xdr:row>
      <xdr:rowOff>111125</xdr:rowOff>
    </xdr:to>
    <xdr:pic>
      <xdr:nvPicPr>
        <xdr:cNvPr id="365" name="ID_3841FDAF4D7842F284ACD40DD7D2BA11" descr="370"/>
        <xdr:cNvPicPr/>
      </xdr:nvPicPr>
      <xdr:blipFill>
        <a:blip r:embed="rId274"/>
        <a:srcRect/>
        <a:stretch>
          <a:fillRect/>
        </a:stretch>
      </xdr:blipFill>
      <xdr:spPr>
        <a:xfrm>
          <a:off x="1790065" y="141760575"/>
          <a:ext cx="561340" cy="3244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628650</xdr:colOff>
      <xdr:row>1</xdr:row>
      <xdr:rowOff>175895</xdr:rowOff>
    </xdr:to>
    <xdr:pic>
      <xdr:nvPicPr>
        <xdr:cNvPr id="337" name="ID_9DB0D6C96E484C8DAF3D0BF66259378B" descr="423"/>
        <xdr:cNvPicPr/>
      </xdr:nvPicPr>
      <xdr:blipFill>
        <a:blip r:embed="rId275"/>
        <a:srcRect/>
        <a:stretch>
          <a:fillRect/>
        </a:stretch>
      </xdr:blipFill>
      <xdr:spPr>
        <a:xfrm>
          <a:off x="1746250" y="135636000"/>
          <a:ext cx="628650" cy="389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222250</xdr:colOff>
      <xdr:row>1</xdr:row>
      <xdr:rowOff>116205</xdr:rowOff>
    </xdr:to>
    <xdr:pic>
      <xdr:nvPicPr>
        <xdr:cNvPr id="553" name="ID_E52DEDA1D4B549759CE92841905715D8" descr="23"/>
        <xdr:cNvPicPr/>
      </xdr:nvPicPr>
      <xdr:blipFill>
        <a:blip r:embed="rId276"/>
        <a:srcRect/>
        <a:stretch>
          <a:fillRect/>
        </a:stretch>
      </xdr:blipFill>
      <xdr:spPr>
        <a:xfrm>
          <a:off x="1805305" y="200425685"/>
          <a:ext cx="222250" cy="3295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665480</xdr:colOff>
      <xdr:row>1</xdr:row>
      <xdr:rowOff>22225</xdr:rowOff>
    </xdr:to>
    <xdr:pic>
      <xdr:nvPicPr>
        <xdr:cNvPr id="446" name="ID_E0BA3FD77C374CDE9F67189EC9A870F6" descr="130"/>
        <xdr:cNvPicPr/>
      </xdr:nvPicPr>
      <xdr:blipFill>
        <a:blip r:embed="rId277"/>
        <a:srcRect/>
        <a:stretch>
          <a:fillRect/>
        </a:stretch>
      </xdr:blipFill>
      <xdr:spPr>
        <a:xfrm>
          <a:off x="1814195" y="125395990"/>
          <a:ext cx="665480" cy="2355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426720</xdr:colOff>
      <xdr:row>1</xdr:row>
      <xdr:rowOff>60960</xdr:rowOff>
    </xdr:to>
    <xdr:pic>
      <xdr:nvPicPr>
        <xdr:cNvPr id="103" name="ID_53B9C989A1B04F0AAD9E5D30E8005204" descr="core_image_url__exec_download_4045937736"/>
        <xdr:cNvPicPr/>
      </xdr:nvPicPr>
      <xdr:blipFill>
        <a:blip r:embed="rId278"/>
        <a:stretch>
          <a:fillRect/>
        </a:stretch>
      </xdr:blipFill>
      <xdr:spPr>
        <a:xfrm>
          <a:off x="0" y="0"/>
          <a:ext cx="426720" cy="2743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654050</xdr:colOff>
      <xdr:row>1</xdr:row>
      <xdr:rowOff>76835</xdr:rowOff>
    </xdr:to>
    <xdr:pic>
      <xdr:nvPicPr>
        <xdr:cNvPr id="311" name="ID_A375F8D7C97849D3A1130EC6F870B269" descr="243"/>
        <xdr:cNvPicPr/>
      </xdr:nvPicPr>
      <xdr:blipFill>
        <a:blip r:embed="rId279"/>
        <a:srcRect/>
        <a:stretch>
          <a:fillRect/>
        </a:stretch>
      </xdr:blipFill>
      <xdr:spPr>
        <a:xfrm>
          <a:off x="1843405" y="126512955"/>
          <a:ext cx="654050" cy="2901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118110</xdr:colOff>
      <xdr:row>7</xdr:row>
      <xdr:rowOff>22860</xdr:rowOff>
    </xdr:to>
    <xdr:pic>
      <xdr:nvPicPr>
        <xdr:cNvPr id="580" name="ID_48FB6FEA943F46C1BB6C188E067D98D7" descr="core_image_url__exec_download_1696710128"/>
        <xdr:cNvPicPr/>
      </xdr:nvPicPr>
      <xdr:blipFill>
        <a:blip r:embed="rId280"/>
        <a:stretch>
          <a:fillRect/>
        </a:stretch>
      </xdr:blipFill>
      <xdr:spPr>
        <a:xfrm>
          <a:off x="0" y="0"/>
          <a:ext cx="1653540" cy="15163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358140</xdr:colOff>
      <xdr:row>1</xdr:row>
      <xdr:rowOff>91440</xdr:rowOff>
    </xdr:to>
    <xdr:pic>
      <xdr:nvPicPr>
        <xdr:cNvPr id="99" name="ID_4D01B89DF7CC445D82B599610DA90F23" descr="core_image_url__exec_download_2672945936"/>
        <xdr:cNvPicPr/>
      </xdr:nvPicPr>
      <xdr:blipFill>
        <a:blip r:embed="rId281"/>
        <a:stretch>
          <a:fillRect/>
        </a:stretch>
      </xdr:blipFill>
      <xdr:spPr>
        <a:xfrm>
          <a:off x="0" y="0"/>
          <a:ext cx="358140" cy="304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760095</xdr:colOff>
      <xdr:row>3</xdr:row>
      <xdr:rowOff>74295</xdr:rowOff>
    </xdr:to>
    <xdr:pic>
      <xdr:nvPicPr>
        <xdr:cNvPr id="126" name="ID_99318BBF9A16439B8B4E2684B7D331BC" descr="core_image_url__exec_download_4187034922"/>
        <xdr:cNvPicPr/>
      </xdr:nvPicPr>
      <xdr:blipFill>
        <a:blip r:embed="rId282"/>
        <a:stretch>
          <a:fillRect/>
        </a:stretch>
      </xdr:blipFill>
      <xdr:spPr>
        <a:xfrm>
          <a:off x="0" y="0"/>
          <a:ext cx="2295525" cy="714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594360</xdr:colOff>
      <xdr:row>1</xdr:row>
      <xdr:rowOff>139065</xdr:rowOff>
    </xdr:to>
    <xdr:pic>
      <xdr:nvPicPr>
        <xdr:cNvPr id="214" name="ID_8BD824F094BA4A399FFADEB8DA351EA7" descr="528"/>
        <xdr:cNvPicPr/>
      </xdr:nvPicPr>
      <xdr:blipFill>
        <a:blip r:embed="rId283"/>
        <a:srcRect/>
        <a:stretch>
          <a:fillRect/>
        </a:stretch>
      </xdr:blipFill>
      <xdr:spPr>
        <a:xfrm>
          <a:off x="2160270" y="42417365"/>
          <a:ext cx="594360" cy="352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406400</xdr:colOff>
      <xdr:row>1</xdr:row>
      <xdr:rowOff>145415</xdr:rowOff>
    </xdr:to>
    <xdr:pic>
      <xdr:nvPicPr>
        <xdr:cNvPr id="481" name="ID_594D226E15F94117B34A8412EF104B1E" descr="core_image_url__exec_download_776411531"/>
        <xdr:cNvPicPr>
          <a:picLocks noChangeAspect="1"/>
        </xdr:cNvPicPr>
      </xdr:nvPicPr>
      <xdr:blipFill>
        <a:blip r:embed="rId284"/>
        <a:stretch>
          <a:fillRect/>
        </a:stretch>
      </xdr:blipFill>
      <xdr:spPr>
        <a:xfrm>
          <a:off x="2124075" y="136033510"/>
          <a:ext cx="406400" cy="358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289560</xdr:colOff>
      <xdr:row>1</xdr:row>
      <xdr:rowOff>114300</xdr:rowOff>
    </xdr:to>
    <xdr:pic>
      <xdr:nvPicPr>
        <xdr:cNvPr id="104" name="ID_095667990E964A758CD8AC0961938E43" descr="core_image_url__exec_download_1473492594"/>
        <xdr:cNvPicPr/>
      </xdr:nvPicPr>
      <xdr:blipFill>
        <a:blip r:embed="rId285"/>
        <a:stretch>
          <a:fillRect/>
        </a:stretch>
      </xdr:blipFill>
      <xdr:spPr>
        <a:xfrm>
          <a:off x="0" y="0"/>
          <a:ext cx="289560" cy="327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555625</xdr:colOff>
      <xdr:row>0</xdr:row>
      <xdr:rowOff>144780</xdr:rowOff>
    </xdr:to>
    <xdr:pic>
      <xdr:nvPicPr>
        <xdr:cNvPr id="115" name="ID_EA066258FBDF4940A1A0CB29D1B7BD8F" descr="core_image_url__exec_download_3288379787"/>
        <xdr:cNvPicPr/>
      </xdr:nvPicPr>
      <xdr:blipFill>
        <a:blip r:embed="rId286"/>
        <a:stretch>
          <a:fillRect/>
        </a:stretch>
      </xdr:blipFill>
      <xdr:spPr>
        <a:xfrm>
          <a:off x="0" y="0"/>
          <a:ext cx="555625" cy="144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597535</xdr:colOff>
      <xdr:row>1</xdr:row>
      <xdr:rowOff>117475</xdr:rowOff>
    </xdr:to>
    <xdr:pic>
      <xdr:nvPicPr>
        <xdr:cNvPr id="516" name="ID_040ACC0FBEE1486B9E4BE54FD68D2C86" descr="110"/>
        <xdr:cNvPicPr/>
      </xdr:nvPicPr>
      <xdr:blipFill>
        <a:blip r:embed="rId287"/>
        <a:srcRect/>
        <a:stretch>
          <a:fillRect/>
        </a:stretch>
      </xdr:blipFill>
      <xdr:spPr>
        <a:xfrm>
          <a:off x="1778635" y="183283225"/>
          <a:ext cx="597535" cy="3308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382270</xdr:colOff>
      <xdr:row>1</xdr:row>
      <xdr:rowOff>124460</xdr:rowOff>
    </xdr:to>
    <xdr:pic>
      <xdr:nvPicPr>
        <xdr:cNvPr id="377" name="ID_62E0CC7521714FF6947DC1CFFFC67F37" descr="37"/>
        <xdr:cNvPicPr/>
      </xdr:nvPicPr>
      <xdr:blipFill>
        <a:blip r:embed="rId288"/>
        <a:srcRect/>
        <a:stretch>
          <a:fillRect/>
        </a:stretch>
      </xdr:blipFill>
      <xdr:spPr>
        <a:xfrm>
          <a:off x="1793240" y="145188940"/>
          <a:ext cx="382270" cy="3378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516255</xdr:colOff>
      <xdr:row>9</xdr:row>
      <xdr:rowOff>41910</xdr:rowOff>
    </xdr:to>
    <xdr:pic>
      <xdr:nvPicPr>
        <xdr:cNvPr id="6" name="ID_EE4FA053769D4E8D9307DED3CFE8F07A" descr="core_image_url__exec_download_334267944"/>
        <xdr:cNvPicPr/>
      </xdr:nvPicPr>
      <xdr:blipFill>
        <a:blip r:embed="rId289"/>
        <a:stretch>
          <a:fillRect/>
        </a:stretch>
      </xdr:blipFill>
      <xdr:spPr>
        <a:xfrm>
          <a:off x="0" y="0"/>
          <a:ext cx="2819400" cy="1962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553085</xdr:colOff>
      <xdr:row>1</xdr:row>
      <xdr:rowOff>64770</xdr:rowOff>
    </xdr:to>
    <xdr:pic>
      <xdr:nvPicPr>
        <xdr:cNvPr id="381" name="ID_A0DF4347B24F4FF0BCE4F3740D143125" descr="43"/>
        <xdr:cNvPicPr/>
      </xdr:nvPicPr>
      <xdr:blipFill>
        <a:blip r:embed="rId290"/>
        <a:srcRect/>
        <a:stretch>
          <a:fillRect/>
        </a:stretch>
      </xdr:blipFill>
      <xdr:spPr>
        <a:xfrm>
          <a:off x="1764665" y="147485100"/>
          <a:ext cx="553085" cy="2781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612775</xdr:colOff>
      <xdr:row>1</xdr:row>
      <xdr:rowOff>165735</xdr:rowOff>
    </xdr:to>
    <xdr:pic>
      <xdr:nvPicPr>
        <xdr:cNvPr id="267" name="ID_8C43C679E8E64623B48B0FFFD5DDB9A6" descr="221"/>
        <xdr:cNvPicPr/>
      </xdr:nvPicPr>
      <xdr:blipFill>
        <a:blip r:embed="rId291"/>
        <a:srcRect/>
        <a:stretch>
          <a:fillRect/>
        </a:stretch>
      </xdr:blipFill>
      <xdr:spPr>
        <a:xfrm>
          <a:off x="1852295" y="101810185"/>
          <a:ext cx="612775" cy="3790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563880</xdr:colOff>
      <xdr:row>1</xdr:row>
      <xdr:rowOff>114300</xdr:rowOff>
    </xdr:to>
    <xdr:pic>
      <xdr:nvPicPr>
        <xdr:cNvPr id="85" name="ID_524ACC8822084E40A79F8330CBE7940F" descr="core_image_url__exec_download_1470102016"/>
        <xdr:cNvPicPr/>
      </xdr:nvPicPr>
      <xdr:blipFill>
        <a:blip r:embed="rId292"/>
        <a:stretch>
          <a:fillRect/>
        </a:stretch>
      </xdr:blipFill>
      <xdr:spPr>
        <a:xfrm>
          <a:off x="0" y="0"/>
          <a:ext cx="563880" cy="327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125730</xdr:colOff>
      <xdr:row>1</xdr:row>
      <xdr:rowOff>88900</xdr:rowOff>
    </xdr:to>
    <xdr:pic>
      <xdr:nvPicPr>
        <xdr:cNvPr id="169" name="ID_9745C623B4894EB9ACBE9086E73954B8" descr="541"/>
        <xdr:cNvPicPr/>
      </xdr:nvPicPr>
      <xdr:blipFill>
        <a:blip r:embed="rId293"/>
        <a:srcRect/>
        <a:stretch>
          <a:fillRect/>
        </a:stretch>
      </xdr:blipFill>
      <xdr:spPr>
        <a:xfrm>
          <a:off x="1925320" y="48182530"/>
          <a:ext cx="893445" cy="302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543560</xdr:colOff>
      <xdr:row>1</xdr:row>
      <xdr:rowOff>133350</xdr:rowOff>
    </xdr:to>
    <xdr:pic>
      <xdr:nvPicPr>
        <xdr:cNvPr id="407" name="ID_A0CA381506D343AE97E9DA2BB377F79D" descr="330"/>
        <xdr:cNvPicPr/>
      </xdr:nvPicPr>
      <xdr:blipFill>
        <a:blip r:embed="rId146"/>
        <a:srcRect/>
        <a:stretch>
          <a:fillRect/>
        </a:stretch>
      </xdr:blipFill>
      <xdr:spPr>
        <a:xfrm>
          <a:off x="1802765" y="150519765"/>
          <a:ext cx="543560" cy="3467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362585</xdr:colOff>
      <xdr:row>1</xdr:row>
      <xdr:rowOff>108585</xdr:rowOff>
    </xdr:to>
    <xdr:pic>
      <xdr:nvPicPr>
        <xdr:cNvPr id="440" name="ID_EEFDC8EBAA5F48BDAC427F08FA00D42C" descr="459"/>
        <xdr:cNvPicPr/>
      </xdr:nvPicPr>
      <xdr:blipFill>
        <a:blip r:embed="rId294"/>
        <a:srcRect/>
        <a:stretch>
          <a:fillRect/>
        </a:stretch>
      </xdr:blipFill>
      <xdr:spPr>
        <a:xfrm>
          <a:off x="1746250" y="157353000"/>
          <a:ext cx="362585" cy="3219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722630</xdr:colOff>
      <xdr:row>1</xdr:row>
      <xdr:rowOff>135890</xdr:rowOff>
    </xdr:to>
    <xdr:pic>
      <xdr:nvPicPr>
        <xdr:cNvPr id="543" name="ID_08EE33A67AD74C5F9C641D8ED52299C6" descr="485"/>
        <xdr:cNvPicPr/>
      </xdr:nvPicPr>
      <xdr:blipFill>
        <a:blip r:embed="rId295"/>
        <a:srcRect/>
        <a:stretch>
          <a:fillRect/>
        </a:stretch>
      </xdr:blipFill>
      <xdr:spPr>
        <a:xfrm>
          <a:off x="1771650" y="195839080"/>
          <a:ext cx="722630" cy="349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407670</xdr:colOff>
      <xdr:row>2</xdr:row>
      <xdr:rowOff>87630</xdr:rowOff>
    </xdr:to>
    <xdr:pic>
      <xdr:nvPicPr>
        <xdr:cNvPr id="31" name="ID_66198DEC34DD4F838E94814FD282FB62" descr="core_image_url__exec_download_1262392792"/>
        <xdr:cNvPicPr/>
      </xdr:nvPicPr>
      <xdr:blipFill>
        <a:blip r:embed="rId296"/>
        <a:stretch>
          <a:fillRect/>
        </a:stretch>
      </xdr:blipFill>
      <xdr:spPr>
        <a:xfrm>
          <a:off x="0" y="0"/>
          <a:ext cx="1943100" cy="514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464820</xdr:colOff>
      <xdr:row>1</xdr:row>
      <xdr:rowOff>83185</xdr:rowOff>
    </xdr:to>
    <xdr:pic>
      <xdr:nvPicPr>
        <xdr:cNvPr id="425" name="ID_81998AEDE0BE4492A6A68E281FFADBC0" descr="327"/>
        <xdr:cNvPicPr/>
      </xdr:nvPicPr>
      <xdr:blipFill>
        <a:blip r:embed="rId146"/>
        <a:srcRect/>
        <a:stretch>
          <a:fillRect/>
        </a:stretch>
      </xdr:blipFill>
      <xdr:spPr>
        <a:xfrm>
          <a:off x="1812290" y="155129230"/>
          <a:ext cx="464820" cy="2965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735330</xdr:colOff>
      <xdr:row>2</xdr:row>
      <xdr:rowOff>68580</xdr:rowOff>
    </xdr:to>
    <xdr:pic>
      <xdr:nvPicPr>
        <xdr:cNvPr id="256" name="ID_08A5280569E447AD87E4C84AA036740F" descr="core_image_url__exec_download_1241849255"/>
        <xdr:cNvPicPr/>
      </xdr:nvPicPr>
      <xdr:blipFill>
        <a:blip r:embed="rId297"/>
        <a:stretch>
          <a:fillRect/>
        </a:stretch>
      </xdr:blipFill>
      <xdr:spPr>
        <a:xfrm>
          <a:off x="0" y="0"/>
          <a:ext cx="3038475" cy="495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617220</xdr:colOff>
      <xdr:row>2</xdr:row>
      <xdr:rowOff>22860</xdr:rowOff>
    </xdr:to>
    <xdr:pic>
      <xdr:nvPicPr>
        <xdr:cNvPr id="395" name="ID_EF81BFB20BF94D258E457880D0856F68" descr="core_image_url__exec_download_4210919"/>
        <xdr:cNvPicPr/>
      </xdr:nvPicPr>
      <xdr:blipFill>
        <a:blip r:embed="rId298"/>
        <a:stretch>
          <a:fillRect/>
        </a:stretch>
      </xdr:blipFill>
      <xdr:spPr>
        <a:xfrm>
          <a:off x="0" y="0"/>
          <a:ext cx="617220" cy="449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687705</xdr:colOff>
      <xdr:row>8</xdr:row>
      <xdr:rowOff>45720</xdr:rowOff>
    </xdr:to>
    <xdr:pic>
      <xdr:nvPicPr>
        <xdr:cNvPr id="142" name="ID_1FEF8D26A953450BA1DD06745C1DD370" descr="core_image_url__exec_download_2938386142"/>
        <xdr:cNvPicPr/>
      </xdr:nvPicPr>
      <xdr:blipFill>
        <a:blip r:embed="rId299"/>
        <a:stretch>
          <a:fillRect/>
        </a:stretch>
      </xdr:blipFill>
      <xdr:spPr>
        <a:xfrm>
          <a:off x="0" y="0"/>
          <a:ext cx="2990850" cy="1752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703580</xdr:colOff>
      <xdr:row>1</xdr:row>
      <xdr:rowOff>138430</xdr:rowOff>
    </xdr:to>
    <xdr:pic>
      <xdr:nvPicPr>
        <xdr:cNvPr id="617" name="ID_00F15261517147518110FCE530917446" descr="8"/>
        <xdr:cNvPicPr/>
      </xdr:nvPicPr>
      <xdr:blipFill>
        <a:blip r:embed="rId300"/>
        <a:srcRect/>
        <a:stretch>
          <a:fillRect/>
        </a:stretch>
      </xdr:blipFill>
      <xdr:spPr>
        <a:xfrm>
          <a:off x="1750060" y="232800525"/>
          <a:ext cx="703580" cy="3517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699135</xdr:colOff>
      <xdr:row>1</xdr:row>
      <xdr:rowOff>119380</xdr:rowOff>
    </xdr:to>
    <xdr:pic>
      <xdr:nvPicPr>
        <xdr:cNvPr id="424" name="ID_A9638AA16FA44B28A824B4CE80EE8F9E" descr="218"/>
        <xdr:cNvPicPr/>
      </xdr:nvPicPr>
      <xdr:blipFill>
        <a:blip r:embed="rId301"/>
        <a:srcRect/>
        <a:stretch>
          <a:fillRect/>
        </a:stretch>
      </xdr:blipFill>
      <xdr:spPr>
        <a:xfrm>
          <a:off x="1800225" y="154703145"/>
          <a:ext cx="699135" cy="3327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572135</xdr:colOff>
      <xdr:row>3</xdr:row>
      <xdr:rowOff>45720</xdr:rowOff>
    </xdr:to>
    <xdr:pic>
      <xdr:nvPicPr>
        <xdr:cNvPr id="61" name="ID_D5C94690A68B4C5CBC8D9A5B44A4E741" descr="core_image_url__exec_download_1160501452"/>
        <xdr:cNvPicPr/>
      </xdr:nvPicPr>
      <xdr:blipFill>
        <a:blip r:embed="rId302"/>
        <a:stretch>
          <a:fillRect/>
        </a:stretch>
      </xdr:blipFill>
      <xdr:spPr>
        <a:xfrm>
          <a:off x="0" y="0"/>
          <a:ext cx="133985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671195</xdr:colOff>
      <xdr:row>1</xdr:row>
      <xdr:rowOff>170180</xdr:rowOff>
    </xdr:to>
    <xdr:pic>
      <xdr:nvPicPr>
        <xdr:cNvPr id="432" name="ID_0B4FAC7B75204838BE321E1B0F39133C" descr="413"/>
        <xdr:cNvPicPr/>
      </xdr:nvPicPr>
      <xdr:blipFill>
        <a:blip r:embed="rId303"/>
        <a:srcRect/>
        <a:stretch>
          <a:fillRect/>
        </a:stretch>
      </xdr:blipFill>
      <xdr:spPr>
        <a:xfrm>
          <a:off x="1791335" y="155488005"/>
          <a:ext cx="671195" cy="3835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580390</xdr:colOff>
      <xdr:row>1</xdr:row>
      <xdr:rowOff>125095</xdr:rowOff>
    </xdr:to>
    <xdr:pic>
      <xdr:nvPicPr>
        <xdr:cNvPr id="513" name="ID_736FC3FC4A6349EA9BA6F25673C23020" descr="157"/>
        <xdr:cNvPicPr/>
      </xdr:nvPicPr>
      <xdr:blipFill>
        <a:blip r:embed="rId304"/>
        <a:srcRect/>
        <a:stretch>
          <a:fillRect/>
        </a:stretch>
      </xdr:blipFill>
      <xdr:spPr>
        <a:xfrm>
          <a:off x="1751965" y="180227605"/>
          <a:ext cx="580390" cy="3384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15</xdr:row>
      <xdr:rowOff>57150</xdr:rowOff>
    </xdr:to>
    <xdr:pic>
      <xdr:nvPicPr>
        <xdr:cNvPr id="674" name="ID_F550FD6BCC1A48C09856945C6676AFD4" descr="core_image_url__exec_download_2574748111"/>
        <xdr:cNvPicPr/>
      </xdr:nvPicPr>
      <xdr:blipFill>
        <a:blip r:embed="rId58"/>
        <a:stretch>
          <a:fillRect/>
        </a:stretch>
      </xdr:blipFill>
      <xdr:spPr>
        <a:xfrm>
          <a:off x="0" y="0"/>
          <a:ext cx="5105400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354330</xdr:colOff>
      <xdr:row>1</xdr:row>
      <xdr:rowOff>193675</xdr:rowOff>
    </xdr:to>
    <xdr:pic>
      <xdr:nvPicPr>
        <xdr:cNvPr id="412" name="ID_6B372AD9EA724DB99CC0DA298AA727D1" descr="167"/>
        <xdr:cNvPicPr/>
      </xdr:nvPicPr>
      <xdr:blipFill>
        <a:blip r:embed="rId305"/>
        <a:srcRect/>
        <a:stretch>
          <a:fillRect/>
        </a:stretch>
      </xdr:blipFill>
      <xdr:spPr>
        <a:xfrm>
          <a:off x="1804670" y="151331295"/>
          <a:ext cx="354330" cy="4070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476885</xdr:colOff>
      <xdr:row>1</xdr:row>
      <xdr:rowOff>146685</xdr:rowOff>
    </xdr:to>
    <xdr:pic>
      <xdr:nvPicPr>
        <xdr:cNvPr id="614" name="ID_AE4BFCD052A448A6B06CC38E74362A9D" descr="333"/>
        <xdr:cNvPicPr/>
      </xdr:nvPicPr>
      <xdr:blipFill>
        <a:blip r:embed="rId306"/>
        <a:srcRect/>
        <a:stretch>
          <a:fillRect/>
        </a:stretch>
      </xdr:blipFill>
      <xdr:spPr>
        <a:xfrm>
          <a:off x="1750060" y="231277160"/>
          <a:ext cx="476885" cy="3600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739140</xdr:colOff>
      <xdr:row>17</xdr:row>
      <xdr:rowOff>182880</xdr:rowOff>
    </xdr:to>
    <xdr:pic>
      <xdr:nvPicPr>
        <xdr:cNvPr id="50" name="ID_530F6E4962174D88B2BCE370BB66F985" descr="core_image_url__exec_download_734470314"/>
        <xdr:cNvPicPr/>
      </xdr:nvPicPr>
      <xdr:blipFill>
        <a:blip r:embed="rId307"/>
        <a:stretch>
          <a:fillRect/>
        </a:stretch>
      </xdr:blipFill>
      <xdr:spPr>
        <a:xfrm>
          <a:off x="0" y="0"/>
          <a:ext cx="3810000" cy="381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144780</xdr:colOff>
      <xdr:row>1</xdr:row>
      <xdr:rowOff>161925</xdr:rowOff>
    </xdr:to>
    <xdr:pic>
      <xdr:nvPicPr>
        <xdr:cNvPr id="555" name="ID_3AC13FBB15D6477FBEC7F6C980C73F5C" descr="24"/>
        <xdr:cNvPicPr/>
      </xdr:nvPicPr>
      <xdr:blipFill>
        <a:blip r:embed="rId308"/>
        <a:srcRect/>
        <a:stretch>
          <a:fillRect/>
        </a:stretch>
      </xdr:blipFill>
      <xdr:spPr>
        <a:xfrm>
          <a:off x="1906270" y="200870820"/>
          <a:ext cx="912495" cy="3752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476250</xdr:colOff>
      <xdr:row>1</xdr:row>
      <xdr:rowOff>159385</xdr:rowOff>
    </xdr:to>
    <xdr:pic>
      <xdr:nvPicPr>
        <xdr:cNvPr id="568" name="ID_FCC64FE8DBDC47AF81F692052AF925FB" descr="487"/>
        <xdr:cNvPicPr/>
      </xdr:nvPicPr>
      <xdr:blipFill>
        <a:blip r:embed="rId309"/>
        <a:srcRect/>
        <a:stretch>
          <a:fillRect/>
        </a:stretch>
      </xdr:blipFill>
      <xdr:spPr>
        <a:xfrm>
          <a:off x="1814195" y="210329780"/>
          <a:ext cx="476250" cy="3727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388620</xdr:colOff>
      <xdr:row>1</xdr:row>
      <xdr:rowOff>134620</xdr:rowOff>
    </xdr:to>
    <xdr:pic>
      <xdr:nvPicPr>
        <xdr:cNvPr id="408" name="ID_467164E0E6E24CB895FBECB1C116D9BE" descr="426"/>
        <xdr:cNvPicPr/>
      </xdr:nvPicPr>
      <xdr:blipFill>
        <a:blip r:embed="rId310"/>
        <a:srcRect/>
        <a:stretch>
          <a:fillRect/>
        </a:stretch>
      </xdr:blipFill>
      <xdr:spPr>
        <a:xfrm>
          <a:off x="1771650" y="131071620"/>
          <a:ext cx="388620" cy="347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451485</xdr:colOff>
      <xdr:row>5</xdr:row>
      <xdr:rowOff>114300</xdr:rowOff>
    </xdr:to>
    <xdr:pic>
      <xdr:nvPicPr>
        <xdr:cNvPr id="305" name="ID_A3CD0D867CD84E59A649C8E6A8446131" descr="core_image_url__exec_download_2121238101"/>
        <xdr:cNvPicPr/>
      </xdr:nvPicPr>
      <xdr:blipFill>
        <a:blip r:embed="rId311"/>
        <a:stretch>
          <a:fillRect/>
        </a:stretch>
      </xdr:blipFill>
      <xdr:spPr>
        <a:xfrm>
          <a:off x="0" y="0"/>
          <a:ext cx="1219200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70485</xdr:colOff>
      <xdr:row>1</xdr:row>
      <xdr:rowOff>129540</xdr:rowOff>
    </xdr:to>
    <xdr:pic>
      <xdr:nvPicPr>
        <xdr:cNvPr id="265" name="ID_85F8856E664C40EF9BBBE2B4F9C70666" descr="135"/>
        <xdr:cNvPicPr/>
      </xdr:nvPicPr>
      <xdr:blipFill>
        <a:blip r:embed="rId312"/>
        <a:srcRect/>
        <a:stretch>
          <a:fillRect/>
        </a:stretch>
      </xdr:blipFill>
      <xdr:spPr>
        <a:xfrm>
          <a:off x="1755775" y="101016435"/>
          <a:ext cx="838200" cy="342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560070</xdr:colOff>
      <xdr:row>1</xdr:row>
      <xdr:rowOff>156210</xdr:rowOff>
    </xdr:to>
    <xdr:pic>
      <xdr:nvPicPr>
        <xdr:cNvPr id="497" name="ID_233F74F4C78A4DBABA4A428D91453ECE" descr="131"/>
        <xdr:cNvPicPr/>
      </xdr:nvPicPr>
      <xdr:blipFill>
        <a:blip r:embed="rId313"/>
        <a:srcRect/>
        <a:stretch>
          <a:fillRect/>
        </a:stretch>
      </xdr:blipFill>
      <xdr:spPr>
        <a:xfrm>
          <a:off x="1972945" y="172756195"/>
          <a:ext cx="560070" cy="3695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427990</xdr:colOff>
      <xdr:row>1</xdr:row>
      <xdr:rowOff>150495</xdr:rowOff>
    </xdr:to>
    <xdr:pic>
      <xdr:nvPicPr>
        <xdr:cNvPr id="468" name="ID_3659B7DAF09A4AC3A827381F27AA47F9" descr="516"/>
        <xdr:cNvPicPr/>
      </xdr:nvPicPr>
      <xdr:blipFill>
        <a:blip r:embed="rId314"/>
        <a:srcRect/>
        <a:stretch>
          <a:fillRect/>
        </a:stretch>
      </xdr:blipFill>
      <xdr:spPr>
        <a:xfrm>
          <a:off x="1746250" y="163068000"/>
          <a:ext cx="427990" cy="3638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306705</xdr:colOff>
      <xdr:row>3</xdr:row>
      <xdr:rowOff>60960</xdr:rowOff>
    </xdr:to>
    <xdr:pic>
      <xdr:nvPicPr>
        <xdr:cNvPr id="58" name="ID_D97D383D22D6487FA34CF897EADBF748" descr="core_image_url__exec_download_2107703432"/>
        <xdr:cNvPicPr/>
      </xdr:nvPicPr>
      <xdr:blipFill>
        <a:blip r:embed="rId315"/>
        <a:stretch>
          <a:fillRect/>
        </a:stretch>
      </xdr:blipFill>
      <xdr:spPr>
        <a:xfrm>
          <a:off x="0" y="0"/>
          <a:ext cx="1074420" cy="7010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603885</xdr:colOff>
      <xdr:row>4</xdr:row>
      <xdr:rowOff>118110</xdr:rowOff>
    </xdr:to>
    <xdr:pic>
      <xdr:nvPicPr>
        <xdr:cNvPr id="664" name="ID_5B8E93DEC0254A71AA1F972AF8461C0D" descr="core_image_url__exec_download_2540026444"/>
        <xdr:cNvPicPr/>
      </xdr:nvPicPr>
      <xdr:blipFill>
        <a:blip r:embed="rId316"/>
        <a:stretch>
          <a:fillRect/>
        </a:stretch>
      </xdr:blipFill>
      <xdr:spPr>
        <a:xfrm>
          <a:off x="0" y="0"/>
          <a:ext cx="1371600" cy="971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558800</xdr:colOff>
      <xdr:row>1</xdr:row>
      <xdr:rowOff>140335</xdr:rowOff>
    </xdr:to>
    <xdr:pic>
      <xdr:nvPicPr>
        <xdr:cNvPr id="647" name="ID_620CFD1B2B9C42D68FEFE288B5C7A68F" descr="219"/>
        <xdr:cNvPicPr/>
      </xdr:nvPicPr>
      <xdr:blipFill>
        <a:blip r:embed="rId317"/>
        <a:srcRect/>
        <a:stretch>
          <a:fillRect/>
        </a:stretch>
      </xdr:blipFill>
      <xdr:spPr>
        <a:xfrm>
          <a:off x="1750060" y="245746905"/>
          <a:ext cx="558800" cy="3536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673100</xdr:colOff>
      <xdr:row>1</xdr:row>
      <xdr:rowOff>160020</xdr:rowOff>
    </xdr:to>
    <xdr:pic>
      <xdr:nvPicPr>
        <xdr:cNvPr id="297" name="ID_06F674CB1F474985847853D8B684726C" descr="58"/>
        <xdr:cNvPicPr/>
      </xdr:nvPicPr>
      <xdr:blipFill>
        <a:blip r:embed="rId77"/>
        <a:srcRect/>
        <a:stretch>
          <a:fillRect/>
        </a:stretch>
      </xdr:blipFill>
      <xdr:spPr>
        <a:xfrm>
          <a:off x="2025015" y="113603405"/>
          <a:ext cx="673100" cy="373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375285</xdr:colOff>
      <xdr:row>3</xdr:row>
      <xdr:rowOff>83820</xdr:rowOff>
    </xdr:to>
    <xdr:pic>
      <xdr:nvPicPr>
        <xdr:cNvPr id="124" name="ID_B3089AF27C2F46A4936C1E6FFBE505D5" descr="core_image_url__exec_download_66269313"/>
        <xdr:cNvPicPr/>
      </xdr:nvPicPr>
      <xdr:blipFill>
        <a:blip r:embed="rId318"/>
        <a:stretch>
          <a:fillRect/>
        </a:stretch>
      </xdr:blipFill>
      <xdr:spPr>
        <a:xfrm>
          <a:off x="0" y="0"/>
          <a:ext cx="1143000" cy="723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488950</xdr:colOff>
      <xdr:row>1</xdr:row>
      <xdr:rowOff>132080</xdr:rowOff>
    </xdr:to>
    <xdr:pic>
      <xdr:nvPicPr>
        <xdr:cNvPr id="245" name="ID_15A3A142271841D888FECF2DD53B0907" descr="345"/>
        <xdr:cNvPicPr/>
      </xdr:nvPicPr>
      <xdr:blipFill>
        <a:blip r:embed="rId319"/>
        <a:srcRect/>
        <a:stretch>
          <a:fillRect/>
        </a:stretch>
      </xdr:blipFill>
      <xdr:spPr>
        <a:xfrm>
          <a:off x="1757045" y="93736160"/>
          <a:ext cx="488950" cy="3454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639445</xdr:colOff>
      <xdr:row>1</xdr:row>
      <xdr:rowOff>45720</xdr:rowOff>
    </xdr:to>
    <xdr:pic>
      <xdr:nvPicPr>
        <xdr:cNvPr id="76" name="ID_09F266416D0E4E97B94016AFE7D6286F" descr="core_image_url__exec_download_1410930831"/>
        <xdr:cNvPicPr/>
      </xdr:nvPicPr>
      <xdr:blipFill>
        <a:blip r:embed="rId320"/>
        <a:stretch>
          <a:fillRect/>
        </a:stretch>
      </xdr:blipFill>
      <xdr:spPr>
        <a:xfrm>
          <a:off x="0" y="0"/>
          <a:ext cx="639445" cy="259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566420</xdr:colOff>
      <xdr:row>3</xdr:row>
      <xdr:rowOff>204470</xdr:rowOff>
    </xdr:to>
    <xdr:pic>
      <xdr:nvPicPr>
        <xdr:cNvPr id="430" name="ID_5ACED97DF9304FB7B048D54A552FA74A" descr="core_image_url__exec_download_639483591"/>
        <xdr:cNvPicPr/>
      </xdr:nvPicPr>
      <xdr:blipFill>
        <a:blip r:embed="rId321"/>
        <a:stretch>
          <a:fillRect/>
        </a:stretch>
      </xdr:blipFill>
      <xdr:spPr>
        <a:xfrm>
          <a:off x="0" y="0"/>
          <a:ext cx="2101850" cy="84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598805</xdr:colOff>
      <xdr:row>1</xdr:row>
      <xdr:rowOff>78740</xdr:rowOff>
    </xdr:to>
    <xdr:pic>
      <xdr:nvPicPr>
        <xdr:cNvPr id="456" name="ID_4E257C9205654EB987976A259CC8F8BF" descr="331"/>
        <xdr:cNvPicPr/>
      </xdr:nvPicPr>
      <xdr:blipFill>
        <a:blip r:embed="rId322"/>
        <a:srcRect/>
        <a:stretch>
          <a:fillRect/>
        </a:stretch>
      </xdr:blipFill>
      <xdr:spPr>
        <a:xfrm>
          <a:off x="1793240" y="150947755"/>
          <a:ext cx="598805" cy="29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51435</xdr:colOff>
      <xdr:row>2</xdr:row>
      <xdr:rowOff>97155</xdr:rowOff>
    </xdr:to>
    <xdr:pic>
      <xdr:nvPicPr>
        <xdr:cNvPr id="21" name="ID_8102574619A444DCBB3D22680D510ED4" descr="core_image_url__exec_download_1278651726"/>
        <xdr:cNvPicPr/>
      </xdr:nvPicPr>
      <xdr:blipFill>
        <a:blip r:embed="rId323"/>
        <a:stretch>
          <a:fillRect/>
        </a:stretch>
      </xdr:blipFill>
      <xdr:spPr>
        <a:xfrm>
          <a:off x="0" y="0"/>
          <a:ext cx="819150" cy="523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665480</xdr:colOff>
      <xdr:row>1</xdr:row>
      <xdr:rowOff>132715</xdr:rowOff>
    </xdr:to>
    <xdr:pic>
      <xdr:nvPicPr>
        <xdr:cNvPr id="552" name="ID_52C2CBF3C7424594BB335F61C0A4B7D9" descr="22"/>
        <xdr:cNvPicPr/>
      </xdr:nvPicPr>
      <xdr:blipFill>
        <a:blip r:embed="rId324"/>
        <a:srcRect/>
        <a:stretch>
          <a:fillRect/>
        </a:stretch>
      </xdr:blipFill>
      <xdr:spPr>
        <a:xfrm>
          <a:off x="1776730" y="200044685"/>
          <a:ext cx="665480" cy="346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262890</xdr:colOff>
      <xdr:row>0</xdr:row>
      <xdr:rowOff>147955</xdr:rowOff>
    </xdr:to>
    <xdr:pic>
      <xdr:nvPicPr>
        <xdr:cNvPr id="600" name="ID_1C1C9A51ACDC41BBA0AD0E7A0A778A7E" descr="489"/>
        <xdr:cNvPicPr/>
      </xdr:nvPicPr>
      <xdr:blipFill>
        <a:blip r:embed="rId325"/>
        <a:srcRect/>
        <a:stretch>
          <a:fillRect/>
        </a:stretch>
      </xdr:blipFill>
      <xdr:spPr>
        <a:xfrm>
          <a:off x="1764665" y="223279335"/>
          <a:ext cx="1030605" cy="1479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551180</xdr:colOff>
      <xdr:row>1</xdr:row>
      <xdr:rowOff>76200</xdr:rowOff>
    </xdr:to>
    <xdr:pic>
      <xdr:nvPicPr>
        <xdr:cNvPr id="312" name="ID_00B4CD628DCF411DA00DD977124B7923" descr="255"/>
        <xdr:cNvPicPr/>
      </xdr:nvPicPr>
      <xdr:blipFill>
        <a:blip r:embed="rId326"/>
        <a:srcRect/>
        <a:stretch>
          <a:fillRect/>
        </a:stretch>
      </xdr:blipFill>
      <xdr:spPr>
        <a:xfrm>
          <a:off x="1814830" y="126923800"/>
          <a:ext cx="551180" cy="2895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537210</xdr:colOff>
      <xdr:row>0</xdr:row>
      <xdr:rowOff>168910</xdr:rowOff>
    </xdr:to>
    <xdr:pic>
      <xdr:nvPicPr>
        <xdr:cNvPr id="422" name="ID_21C2205A8B174E908EDBDF53D429BCB8" descr="478"/>
        <xdr:cNvPicPr/>
      </xdr:nvPicPr>
      <xdr:blipFill>
        <a:blip r:embed="rId327"/>
        <a:srcRect/>
        <a:stretch>
          <a:fillRect/>
        </a:stretch>
      </xdr:blipFill>
      <xdr:spPr>
        <a:xfrm>
          <a:off x="1780540" y="153683335"/>
          <a:ext cx="1304925" cy="1689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739140</xdr:colOff>
      <xdr:row>17</xdr:row>
      <xdr:rowOff>182880</xdr:rowOff>
    </xdr:to>
    <xdr:pic>
      <xdr:nvPicPr>
        <xdr:cNvPr id="51" name="ID_18BF312309EA47809110FF96379439D4" descr="core_image_url__exec_download_4239335150"/>
        <xdr:cNvPicPr/>
      </xdr:nvPicPr>
      <xdr:blipFill>
        <a:blip r:embed="rId307"/>
        <a:stretch>
          <a:fillRect/>
        </a:stretch>
      </xdr:blipFill>
      <xdr:spPr>
        <a:xfrm>
          <a:off x="0" y="0"/>
          <a:ext cx="3810000" cy="381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741045</xdr:colOff>
      <xdr:row>1</xdr:row>
      <xdr:rowOff>34290</xdr:rowOff>
    </xdr:to>
    <xdr:pic>
      <xdr:nvPicPr>
        <xdr:cNvPr id="475" name="ID_8DD470DE0A75414EA8F44EA59EFE5B2E" descr="543"/>
        <xdr:cNvPicPr/>
      </xdr:nvPicPr>
      <xdr:blipFill>
        <a:blip r:embed="rId328"/>
        <a:srcRect/>
        <a:stretch>
          <a:fillRect/>
        </a:stretch>
      </xdr:blipFill>
      <xdr:spPr>
        <a:xfrm>
          <a:off x="1790065" y="164273230"/>
          <a:ext cx="741045" cy="247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275590</xdr:colOff>
      <xdr:row>1</xdr:row>
      <xdr:rowOff>118110</xdr:rowOff>
    </xdr:to>
    <xdr:pic>
      <xdr:nvPicPr>
        <xdr:cNvPr id="473" name="ID_88D08C3643C241878C78BF9D1B0E1BB7" descr="542"/>
        <xdr:cNvPicPr/>
      </xdr:nvPicPr>
      <xdr:blipFill>
        <a:blip r:embed="rId329"/>
        <a:srcRect/>
        <a:stretch>
          <a:fillRect/>
        </a:stretch>
      </xdr:blipFill>
      <xdr:spPr>
        <a:xfrm>
          <a:off x="1779905" y="163449000"/>
          <a:ext cx="275590" cy="3314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146685</xdr:colOff>
      <xdr:row>1</xdr:row>
      <xdr:rowOff>139700</xdr:rowOff>
    </xdr:to>
    <xdr:pic>
      <xdr:nvPicPr>
        <xdr:cNvPr id="26" name="ID_122E17DF7D06464A8FB70F3B964ED7BD" descr="567"/>
        <xdr:cNvPicPr/>
      </xdr:nvPicPr>
      <xdr:blipFill>
        <a:blip r:embed="rId330"/>
        <a:srcRect/>
        <a:stretch>
          <a:fillRect/>
        </a:stretch>
      </xdr:blipFill>
      <xdr:spPr>
        <a:xfrm>
          <a:off x="1960245" y="9206865"/>
          <a:ext cx="914400" cy="35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464820</xdr:colOff>
      <xdr:row>1</xdr:row>
      <xdr:rowOff>140970</xdr:rowOff>
    </xdr:to>
    <xdr:pic>
      <xdr:nvPicPr>
        <xdr:cNvPr id="509" name="ID_3E452EED2FBE4A6EB3961BC71977EE85" descr="153"/>
        <xdr:cNvPicPr/>
      </xdr:nvPicPr>
      <xdr:blipFill>
        <a:blip r:embed="rId331"/>
        <a:srcRect/>
        <a:stretch>
          <a:fillRect/>
        </a:stretch>
      </xdr:blipFill>
      <xdr:spPr>
        <a:xfrm>
          <a:off x="1767840" y="178695350"/>
          <a:ext cx="464820" cy="3543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525780</xdr:colOff>
      <xdr:row>1</xdr:row>
      <xdr:rowOff>124460</xdr:rowOff>
    </xdr:to>
    <xdr:pic>
      <xdr:nvPicPr>
        <xdr:cNvPr id="519" name="ID_82ADC7A094A64823A1004B527A1FC26B" descr="373"/>
        <xdr:cNvPicPr/>
      </xdr:nvPicPr>
      <xdr:blipFill>
        <a:blip r:embed="rId332"/>
        <a:srcRect/>
        <a:stretch>
          <a:fillRect/>
        </a:stretch>
      </xdr:blipFill>
      <xdr:spPr>
        <a:xfrm>
          <a:off x="1746250" y="184785000"/>
          <a:ext cx="525780" cy="3378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123825</xdr:colOff>
      <xdr:row>1</xdr:row>
      <xdr:rowOff>144780</xdr:rowOff>
    </xdr:to>
    <xdr:pic>
      <xdr:nvPicPr>
        <xdr:cNvPr id="273" name="ID_E606764C60194BF7A5AE91F2166A52AB" descr="341"/>
        <xdr:cNvPicPr/>
      </xdr:nvPicPr>
      <xdr:blipFill>
        <a:blip r:embed="rId333"/>
        <a:srcRect/>
        <a:stretch>
          <a:fillRect/>
        </a:stretch>
      </xdr:blipFill>
      <xdr:spPr>
        <a:xfrm>
          <a:off x="1838960" y="92229940"/>
          <a:ext cx="891540" cy="358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675640</xdr:colOff>
      <xdr:row>1</xdr:row>
      <xdr:rowOff>125095</xdr:rowOff>
    </xdr:to>
    <xdr:pic>
      <xdr:nvPicPr>
        <xdr:cNvPr id="492" name="ID_CD0BE73A14354874AA47B5FDC5CDD145" descr="463"/>
        <xdr:cNvPicPr/>
      </xdr:nvPicPr>
      <xdr:blipFill>
        <a:blip r:embed="rId334"/>
        <a:srcRect/>
        <a:stretch>
          <a:fillRect/>
        </a:stretch>
      </xdr:blipFill>
      <xdr:spPr>
        <a:xfrm>
          <a:off x="1771650" y="171086780"/>
          <a:ext cx="675640" cy="3384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594360</xdr:colOff>
      <xdr:row>0</xdr:row>
      <xdr:rowOff>205740</xdr:rowOff>
    </xdr:to>
    <xdr:pic>
      <xdr:nvPicPr>
        <xdr:cNvPr id="112" name="ID_9B1C77621CAA493FABDBF31C15C8A232" descr="core_image_url__exec_download_1462223548"/>
        <xdr:cNvPicPr/>
      </xdr:nvPicPr>
      <xdr:blipFill>
        <a:blip r:embed="rId335"/>
        <a:stretch>
          <a:fillRect/>
        </a:stretch>
      </xdr:blipFill>
      <xdr:spPr>
        <a:xfrm>
          <a:off x="0" y="0"/>
          <a:ext cx="594360" cy="205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416560</xdr:colOff>
      <xdr:row>1</xdr:row>
      <xdr:rowOff>132080</xdr:rowOff>
    </xdr:to>
    <xdr:pic>
      <xdr:nvPicPr>
        <xdr:cNvPr id="247" name="ID_47C16A48396343EFB67AD38FBD7B8985" descr="196"/>
        <xdr:cNvPicPr/>
      </xdr:nvPicPr>
      <xdr:blipFill>
        <a:blip r:embed="rId336"/>
        <a:srcRect/>
        <a:stretch>
          <a:fillRect/>
        </a:stretch>
      </xdr:blipFill>
      <xdr:spPr>
        <a:xfrm>
          <a:off x="1864995" y="97236915"/>
          <a:ext cx="416560" cy="3454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659130</xdr:colOff>
      <xdr:row>1</xdr:row>
      <xdr:rowOff>126365</xdr:rowOff>
    </xdr:to>
    <xdr:pic>
      <xdr:nvPicPr>
        <xdr:cNvPr id="336" name="ID_1F8227285EB24571994282CBC61B0239" descr="17"/>
        <xdr:cNvPicPr/>
      </xdr:nvPicPr>
      <xdr:blipFill>
        <a:blip r:embed="rId337"/>
        <a:srcRect/>
        <a:stretch>
          <a:fillRect/>
        </a:stretch>
      </xdr:blipFill>
      <xdr:spPr>
        <a:xfrm>
          <a:off x="1763395" y="135279765"/>
          <a:ext cx="659130" cy="339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337820</xdr:colOff>
      <xdr:row>1</xdr:row>
      <xdr:rowOff>141605</xdr:rowOff>
    </xdr:to>
    <xdr:pic>
      <xdr:nvPicPr>
        <xdr:cNvPr id="442" name="ID_B86F353F593E4661958205E3EF8B4FA2" descr="364"/>
        <xdr:cNvPicPr/>
      </xdr:nvPicPr>
      <xdr:blipFill>
        <a:blip r:embed="rId117"/>
        <a:srcRect/>
        <a:stretch>
          <a:fillRect/>
        </a:stretch>
      </xdr:blipFill>
      <xdr:spPr>
        <a:xfrm>
          <a:off x="1771015" y="157743525"/>
          <a:ext cx="337820" cy="354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645795</xdr:colOff>
      <xdr:row>1</xdr:row>
      <xdr:rowOff>140335</xdr:rowOff>
    </xdr:to>
    <xdr:pic>
      <xdr:nvPicPr>
        <xdr:cNvPr id="259" name="ID_6AC546936B6344249546993AC956AA45" descr="133"/>
        <xdr:cNvPicPr/>
      </xdr:nvPicPr>
      <xdr:blipFill>
        <a:blip r:embed="rId338"/>
        <a:srcRect/>
        <a:stretch>
          <a:fillRect/>
        </a:stretch>
      </xdr:blipFill>
      <xdr:spPr>
        <a:xfrm>
          <a:off x="1746250" y="100204905"/>
          <a:ext cx="645795" cy="3536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542925</xdr:colOff>
      <xdr:row>1</xdr:row>
      <xdr:rowOff>85090</xdr:rowOff>
    </xdr:to>
    <xdr:pic>
      <xdr:nvPicPr>
        <xdr:cNvPr id="504" name="ID_7B025702AD624318B0AA44E0E40F18EF" descr="387"/>
        <xdr:cNvPicPr/>
      </xdr:nvPicPr>
      <xdr:blipFill>
        <a:blip r:embed="rId339"/>
        <a:srcRect/>
        <a:stretch>
          <a:fillRect/>
        </a:stretch>
      </xdr:blipFill>
      <xdr:spPr>
        <a:xfrm>
          <a:off x="1788795" y="176828450"/>
          <a:ext cx="542925" cy="298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601980</xdr:colOff>
      <xdr:row>1</xdr:row>
      <xdr:rowOff>22860</xdr:rowOff>
    </xdr:to>
    <xdr:pic>
      <xdr:nvPicPr>
        <xdr:cNvPr id="86" name="ID_073596AFFCE04611AA178EA31FBA64F0" descr="core_image_url__exec_download_3571328900"/>
        <xdr:cNvPicPr/>
      </xdr:nvPicPr>
      <xdr:blipFill>
        <a:blip r:embed="rId340"/>
        <a:stretch>
          <a:fillRect/>
        </a:stretch>
      </xdr:blipFill>
      <xdr:spPr>
        <a:xfrm>
          <a:off x="0" y="0"/>
          <a:ext cx="601980" cy="2362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561340</xdr:colOff>
      <xdr:row>4</xdr:row>
      <xdr:rowOff>136525</xdr:rowOff>
    </xdr:to>
    <xdr:pic>
      <xdr:nvPicPr>
        <xdr:cNvPr id="114" name="ID_C63D00B5C05544759ED65CD6F86EA178" descr="197"/>
        <xdr:cNvPicPr/>
      </xdr:nvPicPr>
      <xdr:blipFill>
        <a:blip r:embed="rId341"/>
        <a:srcRect/>
        <a:stretch>
          <a:fillRect/>
        </a:stretch>
      </xdr:blipFill>
      <xdr:spPr>
        <a:xfrm>
          <a:off x="5417185" y="225298635"/>
          <a:ext cx="1329055" cy="989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467995</xdr:colOff>
      <xdr:row>1</xdr:row>
      <xdr:rowOff>144780</xdr:rowOff>
    </xdr:to>
    <xdr:pic>
      <xdr:nvPicPr>
        <xdr:cNvPr id="471" name="ID_65C8F78E7F514E4CA8A0FCAC215F7C7B" descr="core_image_url__exec_download_3849117710"/>
        <xdr:cNvPicPr>
          <a:picLocks noChangeAspect="1"/>
        </xdr:cNvPicPr>
      </xdr:nvPicPr>
      <xdr:blipFill>
        <a:blip r:embed="rId342"/>
        <a:stretch>
          <a:fillRect/>
        </a:stretch>
      </xdr:blipFill>
      <xdr:spPr>
        <a:xfrm>
          <a:off x="1782445" y="131475480"/>
          <a:ext cx="467995" cy="3581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509270</xdr:colOff>
      <xdr:row>2</xdr:row>
      <xdr:rowOff>52705</xdr:rowOff>
    </xdr:to>
    <xdr:pic>
      <xdr:nvPicPr>
        <xdr:cNvPr id="271" name="ID_A32B2AAC237249D9A5FB16D1B394D768" descr="228"/>
        <xdr:cNvPicPr/>
      </xdr:nvPicPr>
      <xdr:blipFill>
        <a:blip r:embed="rId343"/>
        <a:srcRect/>
        <a:stretch>
          <a:fillRect/>
        </a:stretch>
      </xdr:blipFill>
      <xdr:spPr>
        <a:xfrm>
          <a:off x="1812290" y="103285290"/>
          <a:ext cx="1276985" cy="479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318135</xdr:colOff>
      <xdr:row>1</xdr:row>
      <xdr:rowOff>104775</xdr:rowOff>
    </xdr:to>
    <xdr:pic>
      <xdr:nvPicPr>
        <xdr:cNvPr id="461" name="ID_9FA23BB5EA224FEE9242E3A4FDB8EE18" descr="336"/>
        <xdr:cNvPicPr/>
      </xdr:nvPicPr>
      <xdr:blipFill>
        <a:blip r:embed="rId344"/>
        <a:srcRect/>
        <a:stretch>
          <a:fillRect/>
        </a:stretch>
      </xdr:blipFill>
      <xdr:spPr>
        <a:xfrm>
          <a:off x="1821815" y="160435290"/>
          <a:ext cx="318135" cy="3181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359410</xdr:colOff>
      <xdr:row>1</xdr:row>
      <xdr:rowOff>147955</xdr:rowOff>
    </xdr:to>
    <xdr:pic>
      <xdr:nvPicPr>
        <xdr:cNvPr id="462" name="ID_8FC180F75C93439E8DEEEF51BD1B287F" descr="337"/>
        <xdr:cNvPicPr/>
      </xdr:nvPicPr>
      <xdr:blipFill>
        <a:blip r:embed="rId344"/>
        <a:srcRect/>
        <a:stretch>
          <a:fillRect/>
        </a:stretch>
      </xdr:blipFill>
      <xdr:spPr>
        <a:xfrm>
          <a:off x="1821815" y="160808035"/>
          <a:ext cx="359410" cy="3613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541020</xdr:colOff>
      <xdr:row>1</xdr:row>
      <xdr:rowOff>139700</xdr:rowOff>
    </xdr:to>
    <xdr:pic>
      <xdr:nvPicPr>
        <xdr:cNvPr id="538" name="ID_A8023FFFEE514CB5A5007F44F335D4E7" descr="188"/>
        <xdr:cNvPicPr/>
      </xdr:nvPicPr>
      <xdr:blipFill>
        <a:blip r:embed="rId345"/>
        <a:srcRect/>
        <a:stretch>
          <a:fillRect/>
        </a:stretch>
      </xdr:blipFill>
      <xdr:spPr>
        <a:xfrm>
          <a:off x="1779905" y="191648715"/>
          <a:ext cx="541020" cy="35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100965</xdr:colOff>
      <xdr:row>1</xdr:row>
      <xdr:rowOff>84455</xdr:rowOff>
    </xdr:to>
    <xdr:pic>
      <xdr:nvPicPr>
        <xdr:cNvPr id="551" name="ID_0CADF61986F840508144DF2053A61E98" descr="21"/>
        <xdr:cNvPicPr/>
      </xdr:nvPicPr>
      <xdr:blipFill>
        <a:blip r:embed="rId346"/>
        <a:srcRect/>
        <a:stretch>
          <a:fillRect/>
        </a:stretch>
      </xdr:blipFill>
      <xdr:spPr>
        <a:xfrm>
          <a:off x="1878965" y="199653525"/>
          <a:ext cx="868680" cy="2978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441960</xdr:colOff>
      <xdr:row>1</xdr:row>
      <xdr:rowOff>15240</xdr:rowOff>
    </xdr:to>
    <xdr:pic>
      <xdr:nvPicPr>
        <xdr:cNvPr id="102" name="ID_2CCA088D75854883B7F8BDAD9E609B5B" descr="core_image_url__exec_download_3662565069"/>
        <xdr:cNvPicPr/>
      </xdr:nvPicPr>
      <xdr:blipFill>
        <a:blip r:embed="rId347"/>
        <a:stretch>
          <a:fillRect/>
        </a:stretch>
      </xdr:blipFill>
      <xdr:spPr>
        <a:xfrm>
          <a:off x="0" y="0"/>
          <a:ext cx="44196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516890</xdr:colOff>
      <xdr:row>1</xdr:row>
      <xdr:rowOff>118110</xdr:rowOff>
    </xdr:to>
    <xdr:pic>
      <xdr:nvPicPr>
        <xdr:cNvPr id="453" name="ID_9F6576672FA44348AF63C32E875C940C" descr="233"/>
        <xdr:cNvPicPr/>
      </xdr:nvPicPr>
      <xdr:blipFill>
        <a:blip r:embed="rId348"/>
        <a:srcRect/>
        <a:stretch>
          <a:fillRect/>
        </a:stretch>
      </xdr:blipFill>
      <xdr:spPr>
        <a:xfrm>
          <a:off x="1847850" y="160052385"/>
          <a:ext cx="516890" cy="3314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622935</xdr:colOff>
      <xdr:row>1</xdr:row>
      <xdr:rowOff>142240</xdr:rowOff>
    </xdr:to>
    <xdr:pic>
      <xdr:nvPicPr>
        <xdr:cNvPr id="251" name="ID_211E7855BA7C4A5097E7095341F19AD0" descr="65"/>
        <xdr:cNvPicPr/>
      </xdr:nvPicPr>
      <xdr:blipFill>
        <a:blip r:embed="rId349"/>
        <a:srcRect/>
        <a:stretch>
          <a:fillRect/>
        </a:stretch>
      </xdr:blipFill>
      <xdr:spPr>
        <a:xfrm>
          <a:off x="1911985" y="97928430"/>
          <a:ext cx="622935" cy="355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687705</xdr:colOff>
      <xdr:row>1</xdr:row>
      <xdr:rowOff>164465</xdr:rowOff>
    </xdr:to>
    <xdr:pic>
      <xdr:nvPicPr>
        <xdr:cNvPr id="263" name="ID_BBEB970B5ECC448FA18A3272421D75B6" descr="134"/>
        <xdr:cNvPicPr/>
      </xdr:nvPicPr>
      <xdr:blipFill>
        <a:blip r:embed="rId350"/>
        <a:srcRect/>
        <a:stretch>
          <a:fillRect/>
        </a:stretch>
      </xdr:blipFill>
      <xdr:spPr>
        <a:xfrm>
          <a:off x="1874520" y="100653850"/>
          <a:ext cx="687705" cy="377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370840</xdr:colOff>
      <xdr:row>1</xdr:row>
      <xdr:rowOff>144145</xdr:rowOff>
    </xdr:to>
    <xdr:pic>
      <xdr:nvPicPr>
        <xdr:cNvPr id="444" name="ID_51D83EAC897844C78EE2FD55E346A89E" descr="417"/>
        <xdr:cNvPicPr/>
      </xdr:nvPicPr>
      <xdr:blipFill>
        <a:blip r:embed="rId243"/>
        <a:srcRect/>
        <a:stretch>
          <a:fillRect/>
        </a:stretch>
      </xdr:blipFill>
      <xdr:spPr>
        <a:xfrm>
          <a:off x="1823720" y="95262065"/>
          <a:ext cx="370840" cy="3575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563880</xdr:colOff>
      <xdr:row>7</xdr:row>
      <xdr:rowOff>144780</xdr:rowOff>
    </xdr:to>
    <xdr:pic>
      <xdr:nvPicPr>
        <xdr:cNvPr id="59" name="ID_D1FE176EBB64400BB1C3526E3CA88D36" descr="core_image_url__exec_download_768633710"/>
        <xdr:cNvPicPr/>
      </xdr:nvPicPr>
      <xdr:blipFill>
        <a:blip r:embed="rId351"/>
        <a:stretch>
          <a:fillRect/>
        </a:stretch>
      </xdr:blipFill>
      <xdr:spPr>
        <a:xfrm>
          <a:off x="0" y="0"/>
          <a:ext cx="2867025" cy="1638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73660</xdr:colOff>
      <xdr:row>1</xdr:row>
      <xdr:rowOff>119380</xdr:rowOff>
    </xdr:to>
    <xdr:pic>
      <xdr:nvPicPr>
        <xdr:cNvPr id="299" name="ID_853952D3BB03493093EAF27D65385D6D" descr="66"/>
        <xdr:cNvPicPr/>
      </xdr:nvPicPr>
      <xdr:blipFill>
        <a:blip r:embed="rId352"/>
        <a:srcRect/>
        <a:stretch>
          <a:fillRect/>
        </a:stretch>
      </xdr:blipFill>
      <xdr:spPr>
        <a:xfrm>
          <a:off x="2159000" y="115961795"/>
          <a:ext cx="841375" cy="3327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342900</xdr:colOff>
      <xdr:row>1</xdr:row>
      <xdr:rowOff>53340</xdr:rowOff>
    </xdr:to>
    <xdr:pic>
      <xdr:nvPicPr>
        <xdr:cNvPr id="84" name="ID_BE09F165F84447B49DE45441C5EAF3D2" descr="core_image_url__exec_download_2110798735"/>
        <xdr:cNvPicPr/>
      </xdr:nvPicPr>
      <xdr:blipFill>
        <a:blip r:embed="rId353"/>
        <a:stretch>
          <a:fillRect/>
        </a:stretch>
      </xdr:blipFill>
      <xdr:spPr>
        <a:xfrm>
          <a:off x="0" y="0"/>
          <a:ext cx="342900" cy="266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605790</xdr:colOff>
      <xdr:row>1</xdr:row>
      <xdr:rowOff>107950</xdr:rowOff>
    </xdr:to>
    <xdr:pic>
      <xdr:nvPicPr>
        <xdr:cNvPr id="483" name="ID_21309D1D872D4AEEA56AAAF983271B8E" descr="69"/>
        <xdr:cNvPicPr/>
      </xdr:nvPicPr>
      <xdr:blipFill>
        <a:blip r:embed="rId228"/>
        <a:srcRect/>
        <a:stretch>
          <a:fillRect/>
        </a:stretch>
      </xdr:blipFill>
      <xdr:spPr>
        <a:xfrm>
          <a:off x="1774190" y="165391465"/>
          <a:ext cx="605790" cy="3213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620395</xdr:colOff>
      <xdr:row>1</xdr:row>
      <xdr:rowOff>177165</xdr:rowOff>
    </xdr:to>
    <xdr:pic>
      <xdr:nvPicPr>
        <xdr:cNvPr id="292" name="ID_C1A866F37BCC4CF2A5FB6655C89ADB21" descr="366"/>
        <xdr:cNvPicPr/>
      </xdr:nvPicPr>
      <xdr:blipFill>
        <a:blip r:embed="rId354"/>
        <a:srcRect/>
        <a:stretch>
          <a:fillRect/>
        </a:stretch>
      </xdr:blipFill>
      <xdr:spPr>
        <a:xfrm>
          <a:off x="1952625" y="110946565"/>
          <a:ext cx="620395" cy="390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531495</xdr:colOff>
      <xdr:row>1</xdr:row>
      <xdr:rowOff>171450</xdr:rowOff>
    </xdr:to>
    <xdr:pic>
      <xdr:nvPicPr>
        <xdr:cNvPr id="615" name="ID_63E1ACF4ADFD496DB87D0588DFB36AB1" descr="334"/>
        <xdr:cNvPicPr/>
      </xdr:nvPicPr>
      <xdr:blipFill>
        <a:blip r:embed="rId355"/>
        <a:srcRect/>
        <a:stretch>
          <a:fillRect/>
        </a:stretch>
      </xdr:blipFill>
      <xdr:spPr>
        <a:xfrm>
          <a:off x="1756410" y="231653715"/>
          <a:ext cx="531495" cy="3848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190500</xdr:colOff>
      <xdr:row>1</xdr:row>
      <xdr:rowOff>160020</xdr:rowOff>
    </xdr:to>
    <xdr:pic>
      <xdr:nvPicPr>
        <xdr:cNvPr id="83" name="ID_CA9873447C7A44CE8716EFADCBD39F86" descr="core_image_url__exec_download_802709798"/>
        <xdr:cNvPicPr/>
      </xdr:nvPicPr>
      <xdr:blipFill>
        <a:blip r:embed="rId356"/>
        <a:stretch>
          <a:fillRect/>
        </a:stretch>
      </xdr:blipFill>
      <xdr:spPr>
        <a:xfrm>
          <a:off x="0" y="0"/>
          <a:ext cx="190500" cy="3733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729615</xdr:colOff>
      <xdr:row>1</xdr:row>
      <xdr:rowOff>95885</xdr:rowOff>
    </xdr:to>
    <xdr:pic>
      <xdr:nvPicPr>
        <xdr:cNvPr id="415" name="ID_42BCE21DE5994FCBB86B43D63279D4CF" descr="34"/>
        <xdr:cNvPicPr/>
      </xdr:nvPicPr>
      <xdr:blipFill>
        <a:blip r:embed="rId357"/>
        <a:srcRect/>
        <a:stretch>
          <a:fillRect/>
        </a:stretch>
      </xdr:blipFill>
      <xdr:spPr>
        <a:xfrm>
          <a:off x="1793240" y="144066895"/>
          <a:ext cx="729615" cy="3092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584835</xdr:colOff>
      <xdr:row>5</xdr:row>
      <xdr:rowOff>142875</xdr:rowOff>
    </xdr:to>
    <xdr:pic>
      <xdr:nvPicPr>
        <xdr:cNvPr id="663" name="ID_69A1D99CE6754DC69D7C00FB622F0C74" descr="core_image_url__exec_download_3702742264"/>
        <xdr:cNvPicPr/>
      </xdr:nvPicPr>
      <xdr:blipFill>
        <a:blip r:embed="rId358"/>
        <a:stretch>
          <a:fillRect/>
        </a:stretch>
      </xdr:blipFill>
      <xdr:spPr>
        <a:xfrm>
          <a:off x="0" y="0"/>
          <a:ext cx="1352550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458470</xdr:colOff>
      <xdr:row>1</xdr:row>
      <xdr:rowOff>150495</xdr:rowOff>
    </xdr:to>
    <xdr:pic>
      <xdr:nvPicPr>
        <xdr:cNvPr id="347" name="ID_324649439B1C43469DE711059FA3A98F" descr="343"/>
        <xdr:cNvPicPr/>
      </xdr:nvPicPr>
      <xdr:blipFill>
        <a:blip r:embed="rId359"/>
        <a:srcRect/>
        <a:stretch>
          <a:fillRect/>
        </a:stretch>
      </xdr:blipFill>
      <xdr:spPr>
        <a:xfrm>
          <a:off x="1981835" y="93066235"/>
          <a:ext cx="458470" cy="3638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492125</xdr:colOff>
      <xdr:row>1</xdr:row>
      <xdr:rowOff>158750</xdr:rowOff>
    </xdr:to>
    <xdr:pic>
      <xdr:nvPicPr>
        <xdr:cNvPr id="411" name="ID_A383D04B062E44A7A17098D87A575191" descr="486"/>
        <xdr:cNvPicPr/>
      </xdr:nvPicPr>
      <xdr:blipFill>
        <a:blip r:embed="rId360"/>
        <a:srcRect/>
        <a:stretch>
          <a:fillRect/>
        </a:stretch>
      </xdr:blipFill>
      <xdr:spPr>
        <a:xfrm>
          <a:off x="1809115" y="90317955"/>
          <a:ext cx="492125" cy="3721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131445</xdr:colOff>
      <xdr:row>5</xdr:row>
      <xdr:rowOff>123825</xdr:rowOff>
    </xdr:to>
    <xdr:pic>
      <xdr:nvPicPr>
        <xdr:cNvPr id="660" name="ID_0508198714B848AB8F5558434FF2D0F8" descr="core_image_url__exec_download_3451540788"/>
        <xdr:cNvPicPr/>
      </xdr:nvPicPr>
      <xdr:blipFill>
        <a:blip r:embed="rId361"/>
        <a:stretch>
          <a:fillRect/>
        </a:stretch>
      </xdr:blipFill>
      <xdr:spPr>
        <a:xfrm>
          <a:off x="0" y="0"/>
          <a:ext cx="1666875" cy="1190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436245</xdr:colOff>
      <xdr:row>10</xdr:row>
      <xdr:rowOff>123825</xdr:rowOff>
    </xdr:to>
    <xdr:pic>
      <xdr:nvPicPr>
        <xdr:cNvPr id="62" name="ID_580C7A82DED4496896AE9A54DC470556" descr="core_image_url__exec_download_3121010652"/>
        <xdr:cNvPicPr/>
      </xdr:nvPicPr>
      <xdr:blipFill>
        <a:blip r:embed="rId362"/>
        <a:stretch>
          <a:fillRect/>
        </a:stretch>
      </xdr:blipFill>
      <xdr:spPr>
        <a:xfrm>
          <a:off x="0" y="0"/>
          <a:ext cx="1971675" cy="2257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443230</xdr:colOff>
      <xdr:row>1</xdr:row>
      <xdr:rowOff>77470</xdr:rowOff>
    </xdr:to>
    <xdr:pic>
      <xdr:nvPicPr>
        <xdr:cNvPr id="502" name="ID_5208DB7191A6441B99785B05704AEBC7" descr="429"/>
        <xdr:cNvPicPr/>
      </xdr:nvPicPr>
      <xdr:blipFill>
        <a:blip r:embed="rId363"/>
        <a:srcRect/>
        <a:stretch>
          <a:fillRect/>
        </a:stretch>
      </xdr:blipFill>
      <xdr:spPr>
        <a:xfrm>
          <a:off x="1806575" y="175666400"/>
          <a:ext cx="443230" cy="2908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662940</xdr:colOff>
      <xdr:row>1</xdr:row>
      <xdr:rowOff>91440</xdr:rowOff>
    </xdr:to>
    <xdr:pic>
      <xdr:nvPicPr>
        <xdr:cNvPr id="81" name="ID_077B73373BE54BB78A0C0FAF7EF000D2" descr="core_image_url__exec_download_968638648"/>
        <xdr:cNvPicPr/>
      </xdr:nvPicPr>
      <xdr:blipFill>
        <a:blip r:embed="rId364"/>
        <a:stretch>
          <a:fillRect/>
        </a:stretch>
      </xdr:blipFill>
      <xdr:spPr>
        <a:xfrm>
          <a:off x="0" y="0"/>
          <a:ext cx="662940" cy="304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617855</xdr:colOff>
      <xdr:row>7</xdr:row>
      <xdr:rowOff>68580</xdr:rowOff>
    </xdr:to>
    <xdr:pic>
      <xdr:nvPicPr>
        <xdr:cNvPr id="572" name="ID_4730069CB43944659656425848444515" descr="core_image_url__exec_download_1659599277"/>
        <xdr:cNvPicPr/>
      </xdr:nvPicPr>
      <xdr:blipFill>
        <a:blip r:embed="rId365"/>
        <a:stretch>
          <a:fillRect/>
        </a:stretch>
      </xdr:blipFill>
      <xdr:spPr>
        <a:xfrm>
          <a:off x="0" y="0"/>
          <a:ext cx="2921000" cy="1562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226695</xdr:colOff>
      <xdr:row>8</xdr:row>
      <xdr:rowOff>55245</xdr:rowOff>
    </xdr:to>
    <xdr:pic>
      <xdr:nvPicPr>
        <xdr:cNvPr id="15" name="ID_60638D33CA3041A3BA8618CF488133D9" descr="core_image_url__exec_download_2048014977"/>
        <xdr:cNvPicPr/>
      </xdr:nvPicPr>
      <xdr:blipFill>
        <a:blip r:embed="rId366"/>
        <a:stretch>
          <a:fillRect/>
        </a:stretch>
      </xdr:blipFill>
      <xdr:spPr>
        <a:xfrm>
          <a:off x="0" y="0"/>
          <a:ext cx="1762125" cy="1762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327660</xdr:colOff>
      <xdr:row>1</xdr:row>
      <xdr:rowOff>76200</xdr:rowOff>
    </xdr:to>
    <xdr:pic>
      <xdr:nvPicPr>
        <xdr:cNvPr id="100" name="ID_B29B5FD08C81468DBC4E87EEAD5E8867" descr="core_image_url__exec_download_2027848151"/>
        <xdr:cNvPicPr/>
      </xdr:nvPicPr>
      <xdr:blipFill>
        <a:blip r:embed="rId367"/>
        <a:stretch>
          <a:fillRect/>
        </a:stretch>
      </xdr:blipFill>
      <xdr:spPr>
        <a:xfrm>
          <a:off x="0" y="0"/>
          <a:ext cx="327660" cy="289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330200</xdr:colOff>
      <xdr:row>1</xdr:row>
      <xdr:rowOff>151130</xdr:rowOff>
    </xdr:to>
    <xdr:pic>
      <xdr:nvPicPr>
        <xdr:cNvPr id="541" name="ID_2A82942ECB654D8DA390AA7FD430B283" descr="431"/>
        <xdr:cNvPicPr/>
      </xdr:nvPicPr>
      <xdr:blipFill>
        <a:blip r:embed="rId368"/>
        <a:srcRect/>
        <a:stretch>
          <a:fillRect/>
        </a:stretch>
      </xdr:blipFill>
      <xdr:spPr>
        <a:xfrm>
          <a:off x="1746250" y="192786000"/>
          <a:ext cx="330200" cy="3644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768350</xdr:colOff>
      <xdr:row>3</xdr:row>
      <xdr:rowOff>7620</xdr:rowOff>
    </xdr:to>
    <xdr:pic>
      <xdr:nvPicPr>
        <xdr:cNvPr id="3" name="ID_85A4C7F7A7D94A2E91E8CA44D8646CDA" descr="core_image_url__exec_download_442905809"/>
        <xdr:cNvPicPr/>
      </xdr:nvPicPr>
      <xdr:blipFill>
        <a:blip r:embed="rId369"/>
        <a:stretch>
          <a:fillRect/>
        </a:stretch>
      </xdr:blipFill>
      <xdr:spPr>
        <a:xfrm>
          <a:off x="0" y="0"/>
          <a:ext cx="768350" cy="6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179705</xdr:colOff>
      <xdr:row>0</xdr:row>
      <xdr:rowOff>182880</xdr:rowOff>
    </xdr:to>
    <xdr:pic>
      <xdr:nvPicPr>
        <xdr:cNvPr id="12" name="ID_7F15B0F2FFED45C588163C502275CF52" descr="551"/>
        <xdr:cNvPicPr/>
      </xdr:nvPicPr>
      <xdr:blipFill>
        <a:blip r:embed="rId370"/>
        <a:srcRect/>
        <a:stretch>
          <a:fillRect/>
        </a:stretch>
      </xdr:blipFill>
      <xdr:spPr>
        <a:xfrm>
          <a:off x="1884045" y="5840730"/>
          <a:ext cx="947420" cy="182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387350</xdr:colOff>
      <xdr:row>1</xdr:row>
      <xdr:rowOff>132715</xdr:rowOff>
    </xdr:to>
    <xdr:pic>
      <xdr:nvPicPr>
        <xdr:cNvPr id="439" name="ID_3F00E0C5445D43BE9B64C1A31DE486F7" descr="460"/>
        <xdr:cNvPicPr/>
      </xdr:nvPicPr>
      <xdr:blipFill>
        <a:blip r:embed="rId371"/>
        <a:srcRect/>
        <a:stretch>
          <a:fillRect/>
        </a:stretch>
      </xdr:blipFill>
      <xdr:spPr>
        <a:xfrm>
          <a:off x="1784350" y="156972000"/>
          <a:ext cx="387350" cy="346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517525</xdr:colOff>
      <xdr:row>1</xdr:row>
      <xdr:rowOff>76200</xdr:rowOff>
    </xdr:to>
    <xdr:pic>
      <xdr:nvPicPr>
        <xdr:cNvPr id="549" name="ID_950D5BA50AC94A9CBC05CD5F2D21D213" descr="271"/>
        <xdr:cNvPicPr/>
      </xdr:nvPicPr>
      <xdr:blipFill>
        <a:blip r:embed="rId372"/>
        <a:srcRect/>
        <a:stretch>
          <a:fillRect/>
        </a:stretch>
      </xdr:blipFill>
      <xdr:spPr>
        <a:xfrm>
          <a:off x="1800225" y="198890255"/>
          <a:ext cx="517525" cy="2895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736600</xdr:colOff>
      <xdr:row>1</xdr:row>
      <xdr:rowOff>1270</xdr:rowOff>
    </xdr:to>
    <xdr:pic>
      <xdr:nvPicPr>
        <xdr:cNvPr id="413" name="ID_A04B754AF35044C2A4593EA5DA9B5C7E" descr="181"/>
        <xdr:cNvPicPr/>
      </xdr:nvPicPr>
      <xdr:blipFill>
        <a:blip r:embed="rId373"/>
        <a:srcRect/>
        <a:stretch>
          <a:fillRect/>
        </a:stretch>
      </xdr:blipFill>
      <xdr:spPr>
        <a:xfrm>
          <a:off x="1776095" y="151754840"/>
          <a:ext cx="736600" cy="2146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697865</xdr:colOff>
      <xdr:row>1</xdr:row>
      <xdr:rowOff>137160</xdr:rowOff>
    </xdr:to>
    <xdr:pic>
      <xdr:nvPicPr>
        <xdr:cNvPr id="35" name="ID_AC0B8FD639B047AE8373A4E5EBA2AD79"/>
        <xdr:cNvPicPr>
          <a:picLocks noChangeAspect="1"/>
        </xdr:cNvPicPr>
      </xdr:nvPicPr>
      <xdr:blipFill>
        <a:blip r:embed="rId374"/>
        <a:stretch>
          <a:fillRect/>
        </a:stretch>
      </xdr:blipFill>
      <xdr:spPr>
        <a:xfrm>
          <a:off x="1828165" y="128031240"/>
          <a:ext cx="697865" cy="350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421640</xdr:colOff>
      <xdr:row>1</xdr:row>
      <xdr:rowOff>98425</xdr:rowOff>
    </xdr:to>
    <xdr:pic>
      <xdr:nvPicPr>
        <xdr:cNvPr id="243" name="ID_4229A14C276944808B3D5DDCDDBB3861" descr="340"/>
        <xdr:cNvPicPr/>
      </xdr:nvPicPr>
      <xdr:blipFill>
        <a:blip r:embed="rId375"/>
        <a:srcRect/>
        <a:stretch>
          <a:fillRect/>
        </a:stretch>
      </xdr:blipFill>
      <xdr:spPr>
        <a:xfrm>
          <a:off x="1934845" y="91851480"/>
          <a:ext cx="421640" cy="3117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390525</xdr:colOff>
      <xdr:row>1</xdr:row>
      <xdr:rowOff>167640</xdr:rowOff>
    </xdr:to>
    <xdr:pic>
      <xdr:nvPicPr>
        <xdr:cNvPr id="52" name="ID_43770FC6688146F18A21AB0695C22EE4" descr="core_image_url__exec_download_2409977965"/>
        <xdr:cNvPicPr/>
      </xdr:nvPicPr>
      <xdr:blipFill>
        <a:blip r:embed="rId376"/>
        <a:stretch>
          <a:fillRect/>
        </a:stretch>
      </xdr:blipFill>
      <xdr:spPr>
        <a:xfrm>
          <a:off x="0" y="0"/>
          <a:ext cx="1158240" cy="38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70485</xdr:colOff>
      <xdr:row>1</xdr:row>
      <xdr:rowOff>198120</xdr:rowOff>
    </xdr:to>
    <xdr:pic>
      <xdr:nvPicPr>
        <xdr:cNvPr id="573" name="ID_0EC57C293FDE48989044379EECDCD4DD" descr="core_image_url__exec_download_2721296591"/>
        <xdr:cNvPicPr/>
      </xdr:nvPicPr>
      <xdr:blipFill>
        <a:blip r:embed="rId377"/>
        <a:stretch>
          <a:fillRect/>
        </a:stretch>
      </xdr:blipFill>
      <xdr:spPr>
        <a:xfrm>
          <a:off x="0" y="0"/>
          <a:ext cx="838200" cy="411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645795</xdr:colOff>
      <xdr:row>1</xdr:row>
      <xdr:rowOff>158750</xdr:rowOff>
    </xdr:to>
    <xdr:pic>
      <xdr:nvPicPr>
        <xdr:cNvPr id="511" name="ID_59689A82E15F4CBFBADF817CC26B07A2" descr="155"/>
        <xdr:cNvPicPr/>
      </xdr:nvPicPr>
      <xdr:blipFill>
        <a:blip r:embed="rId378"/>
        <a:srcRect/>
        <a:stretch>
          <a:fillRect/>
        </a:stretch>
      </xdr:blipFill>
      <xdr:spPr>
        <a:xfrm>
          <a:off x="1777365" y="179453540"/>
          <a:ext cx="645795" cy="3721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629285</xdr:colOff>
      <xdr:row>1</xdr:row>
      <xdr:rowOff>156210</xdr:rowOff>
    </xdr:to>
    <xdr:pic>
      <xdr:nvPicPr>
        <xdr:cNvPr id="384" name="ID_D30376E5C39B4EA7948444B6E2D586F0" descr="346"/>
        <xdr:cNvPicPr/>
      </xdr:nvPicPr>
      <xdr:blipFill>
        <a:blip r:embed="rId379"/>
        <a:srcRect/>
        <a:stretch>
          <a:fillRect/>
        </a:stretch>
      </xdr:blipFill>
      <xdr:spPr>
        <a:xfrm>
          <a:off x="1752600" y="94108905"/>
          <a:ext cx="629285" cy="3695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219075</xdr:colOff>
      <xdr:row>7</xdr:row>
      <xdr:rowOff>1905</xdr:rowOff>
    </xdr:to>
    <xdr:pic>
      <xdr:nvPicPr>
        <xdr:cNvPr id="89" name="ID_F5E27911A1BE4679BDDC0AD20B99C532" descr="core_image_url__exec_download_1391704965"/>
        <xdr:cNvPicPr/>
      </xdr:nvPicPr>
      <xdr:blipFill>
        <a:blip r:embed="rId380"/>
        <a:stretch>
          <a:fillRect/>
        </a:stretch>
      </xdr:blipFill>
      <xdr:spPr>
        <a:xfrm>
          <a:off x="0" y="0"/>
          <a:ext cx="4057650" cy="1495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561975</xdr:colOff>
      <xdr:row>0</xdr:row>
      <xdr:rowOff>153670</xdr:rowOff>
    </xdr:to>
    <xdr:pic>
      <xdr:nvPicPr>
        <xdr:cNvPr id="567" name="ID_0CAA390E50A74E4DB3E10ACC1C24DEA3" descr="465"/>
        <xdr:cNvPicPr/>
      </xdr:nvPicPr>
      <xdr:blipFill>
        <a:blip r:embed="rId381"/>
        <a:srcRect/>
        <a:stretch>
          <a:fillRect/>
        </a:stretch>
      </xdr:blipFill>
      <xdr:spPr>
        <a:xfrm>
          <a:off x="1771015" y="208884520"/>
          <a:ext cx="561975" cy="1536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433705</xdr:colOff>
      <xdr:row>1</xdr:row>
      <xdr:rowOff>134620</xdr:rowOff>
    </xdr:to>
    <xdr:pic>
      <xdr:nvPicPr>
        <xdr:cNvPr id="239" name="ID_9F275015C2094BBBA1E7BD813056EA79" descr="338"/>
        <xdr:cNvPicPr/>
      </xdr:nvPicPr>
      <xdr:blipFill>
        <a:blip r:embed="rId382"/>
        <a:srcRect/>
        <a:stretch>
          <a:fillRect/>
        </a:stretch>
      </xdr:blipFill>
      <xdr:spPr>
        <a:xfrm>
          <a:off x="1880870" y="91177745"/>
          <a:ext cx="433705" cy="347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640080</xdr:colOff>
      <xdr:row>1</xdr:row>
      <xdr:rowOff>120015</xdr:rowOff>
    </xdr:to>
    <xdr:pic>
      <xdr:nvPicPr>
        <xdr:cNvPr id="465" name="ID_9DA36EE04B524B0582031AB89C0062CC" descr="144"/>
        <xdr:cNvPicPr/>
      </xdr:nvPicPr>
      <xdr:blipFill>
        <a:blip r:embed="rId128"/>
        <a:srcRect/>
        <a:stretch>
          <a:fillRect/>
        </a:stretch>
      </xdr:blipFill>
      <xdr:spPr>
        <a:xfrm>
          <a:off x="1770380" y="161951670"/>
          <a:ext cx="640080" cy="3333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615315</xdr:colOff>
      <xdr:row>1</xdr:row>
      <xdr:rowOff>140970</xdr:rowOff>
    </xdr:to>
    <xdr:pic>
      <xdr:nvPicPr>
        <xdr:cNvPr id="654" name="ID_D4873BED911E4E52A5B9ECCE6F8476E8" descr="558"/>
        <xdr:cNvPicPr/>
      </xdr:nvPicPr>
      <xdr:blipFill>
        <a:blip r:embed="rId383"/>
        <a:srcRect/>
        <a:stretch>
          <a:fillRect/>
        </a:stretch>
      </xdr:blipFill>
      <xdr:spPr>
        <a:xfrm>
          <a:off x="1753870" y="248800620"/>
          <a:ext cx="615315" cy="3543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700405</xdr:colOff>
      <xdr:row>1</xdr:row>
      <xdr:rowOff>132715</xdr:rowOff>
    </xdr:to>
    <xdr:pic>
      <xdr:nvPicPr>
        <xdr:cNvPr id="244" name="ID_43B6760193CD442AA724CA3AAAD381DB" descr="344"/>
        <xdr:cNvPicPr/>
      </xdr:nvPicPr>
      <xdr:blipFill>
        <a:blip r:embed="rId384"/>
        <a:srcRect/>
        <a:stretch>
          <a:fillRect/>
        </a:stretch>
      </xdr:blipFill>
      <xdr:spPr>
        <a:xfrm>
          <a:off x="1746250" y="93355160"/>
          <a:ext cx="700405" cy="346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499110</xdr:colOff>
      <xdr:row>19</xdr:row>
      <xdr:rowOff>137160</xdr:rowOff>
    </xdr:to>
    <xdr:pic>
      <xdr:nvPicPr>
        <xdr:cNvPr id="676" name="ID_B150901C154D4A37A7846B8797B7FE85" descr="core_image_url__exec_download_246565038"/>
        <xdr:cNvPicPr/>
      </xdr:nvPicPr>
      <xdr:blipFill>
        <a:blip r:embed="rId385"/>
        <a:stretch>
          <a:fillRect/>
        </a:stretch>
      </xdr:blipFill>
      <xdr:spPr>
        <a:xfrm>
          <a:off x="0" y="0"/>
          <a:ext cx="5105400" cy="419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139700</xdr:colOff>
      <xdr:row>1</xdr:row>
      <xdr:rowOff>180340</xdr:rowOff>
    </xdr:to>
    <xdr:pic>
      <xdr:nvPicPr>
        <xdr:cNvPr id="559" name="ID_076CCD217C814A2AB8D8F332CE3B30A3" descr="27"/>
        <xdr:cNvPicPr/>
      </xdr:nvPicPr>
      <xdr:blipFill>
        <a:blip r:embed="rId386"/>
        <a:srcRect/>
        <a:stretch>
          <a:fillRect/>
        </a:stretch>
      </xdr:blipFill>
      <xdr:spPr>
        <a:xfrm>
          <a:off x="1858010" y="201968735"/>
          <a:ext cx="907415" cy="393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410845</xdr:colOff>
      <xdr:row>1</xdr:row>
      <xdr:rowOff>159385</xdr:rowOff>
    </xdr:to>
    <xdr:pic>
      <xdr:nvPicPr>
        <xdr:cNvPr id="576" name="ID_64567C8625AC44A1A99C62241D3BEC2A" descr="3"/>
        <xdr:cNvPicPr/>
      </xdr:nvPicPr>
      <xdr:blipFill>
        <a:blip r:embed="rId387"/>
        <a:srcRect/>
        <a:stretch>
          <a:fillRect/>
        </a:stretch>
      </xdr:blipFill>
      <xdr:spPr>
        <a:xfrm>
          <a:off x="2098675" y="212693885"/>
          <a:ext cx="410845" cy="3727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567690</xdr:colOff>
      <xdr:row>1</xdr:row>
      <xdr:rowOff>57785</xdr:rowOff>
    </xdr:to>
    <xdr:pic>
      <xdr:nvPicPr>
        <xdr:cNvPr id="378" name="ID_029B1E99B4E842C1B142129A4DE81F47" descr="38"/>
        <xdr:cNvPicPr/>
      </xdr:nvPicPr>
      <xdr:blipFill>
        <a:blip r:embed="rId388"/>
        <a:srcRect/>
        <a:stretch>
          <a:fillRect/>
        </a:stretch>
      </xdr:blipFill>
      <xdr:spPr>
        <a:xfrm>
          <a:off x="1755140" y="145618200"/>
          <a:ext cx="567690" cy="2711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299085</xdr:colOff>
      <xdr:row>1</xdr:row>
      <xdr:rowOff>137160</xdr:rowOff>
    </xdr:to>
    <xdr:pic>
      <xdr:nvPicPr>
        <xdr:cNvPr id="417" name="ID_C0CD9DBEBA61432EB80777D2F46649CE" descr="359"/>
        <xdr:cNvPicPr/>
      </xdr:nvPicPr>
      <xdr:blipFill>
        <a:blip r:embed="rId389"/>
        <a:srcRect/>
        <a:stretch>
          <a:fillRect/>
        </a:stretch>
      </xdr:blipFill>
      <xdr:spPr>
        <a:xfrm>
          <a:off x="1798955" y="152126315"/>
          <a:ext cx="299085" cy="350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399415</xdr:colOff>
      <xdr:row>1</xdr:row>
      <xdr:rowOff>143510</xdr:rowOff>
    </xdr:to>
    <xdr:pic>
      <xdr:nvPicPr>
        <xdr:cNvPr id="452" name="ID_8E723E9B538D400191D541888F09AC32" descr="232"/>
        <xdr:cNvPicPr/>
      </xdr:nvPicPr>
      <xdr:blipFill>
        <a:blip r:embed="rId390"/>
        <a:srcRect/>
        <a:stretch>
          <a:fillRect/>
        </a:stretch>
      </xdr:blipFill>
      <xdr:spPr>
        <a:xfrm>
          <a:off x="1840865" y="159641540"/>
          <a:ext cx="399415" cy="3568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327660</xdr:colOff>
      <xdr:row>1</xdr:row>
      <xdr:rowOff>196850</xdr:rowOff>
    </xdr:to>
    <xdr:pic>
      <xdr:nvPicPr>
        <xdr:cNvPr id="288" name="ID_453EDBD712B542189FC3210E23A3E0EC" descr="361"/>
        <xdr:cNvPicPr/>
      </xdr:nvPicPr>
      <xdr:blipFill>
        <a:blip r:embed="rId391"/>
        <a:srcRect/>
        <a:stretch>
          <a:fillRect/>
        </a:stretch>
      </xdr:blipFill>
      <xdr:spPr>
        <a:xfrm>
          <a:off x="1979295" y="110592870"/>
          <a:ext cx="327660" cy="4102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626745</xdr:colOff>
      <xdr:row>1</xdr:row>
      <xdr:rowOff>133985</xdr:rowOff>
    </xdr:to>
    <xdr:pic>
      <xdr:nvPicPr>
        <xdr:cNvPr id="254" name="ID_CF00EF7045684A22923F7C460A71268B" descr="72"/>
        <xdr:cNvPicPr/>
      </xdr:nvPicPr>
      <xdr:blipFill>
        <a:blip r:embed="rId392"/>
        <a:srcRect/>
        <a:stretch>
          <a:fillRect/>
        </a:stretch>
      </xdr:blipFill>
      <xdr:spPr>
        <a:xfrm>
          <a:off x="1943735" y="98345625"/>
          <a:ext cx="626745" cy="3473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523240</xdr:colOff>
      <xdr:row>1</xdr:row>
      <xdr:rowOff>126365</xdr:rowOff>
    </xdr:to>
    <xdr:pic>
      <xdr:nvPicPr>
        <xdr:cNvPr id="514" name="ID_57187143CEDC448496C3B38B60E1D4F5" descr="493"/>
        <xdr:cNvPicPr/>
      </xdr:nvPicPr>
      <xdr:blipFill>
        <a:blip r:embed="rId393"/>
        <a:srcRect/>
        <a:stretch>
          <a:fillRect/>
        </a:stretch>
      </xdr:blipFill>
      <xdr:spPr>
        <a:xfrm>
          <a:off x="1746250" y="180594000"/>
          <a:ext cx="523240" cy="339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527685</xdr:colOff>
      <xdr:row>3</xdr:row>
      <xdr:rowOff>60960</xdr:rowOff>
    </xdr:to>
    <xdr:pic>
      <xdr:nvPicPr>
        <xdr:cNvPr id="67" name="ID_F2D297C8C3FF425E81E677A6901455C6" descr="core_image_url__exec_download_2766419743"/>
        <xdr:cNvPicPr/>
      </xdr:nvPicPr>
      <xdr:blipFill>
        <a:blip r:embed="rId394"/>
        <a:stretch>
          <a:fillRect/>
        </a:stretch>
      </xdr:blipFill>
      <xdr:spPr>
        <a:xfrm>
          <a:off x="0" y="0"/>
          <a:ext cx="1295400" cy="7010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34290</xdr:colOff>
      <xdr:row>4</xdr:row>
      <xdr:rowOff>115570</xdr:rowOff>
    </xdr:to>
    <xdr:pic>
      <xdr:nvPicPr>
        <xdr:cNvPr id="389" name="ID_D0B2B6254BF448BCBAF8DD94FA0EFA18" descr="200"/>
        <xdr:cNvPicPr/>
      </xdr:nvPicPr>
      <xdr:blipFill>
        <a:blip r:embed="rId395"/>
        <a:srcRect/>
        <a:stretch>
          <a:fillRect/>
        </a:stretch>
      </xdr:blipFill>
      <xdr:spPr>
        <a:xfrm>
          <a:off x="5380355" y="228393625"/>
          <a:ext cx="1569720" cy="9690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413385</xdr:colOff>
      <xdr:row>4</xdr:row>
      <xdr:rowOff>32385</xdr:rowOff>
    </xdr:to>
    <xdr:pic>
      <xdr:nvPicPr>
        <xdr:cNvPr id="19" name="ID_0749EB59C6504EA6A86B330118E3020C" descr="core_image_url__exec_download_3085431288"/>
        <xdr:cNvPicPr/>
      </xdr:nvPicPr>
      <xdr:blipFill>
        <a:blip r:embed="rId396"/>
        <a:stretch>
          <a:fillRect/>
        </a:stretch>
      </xdr:blipFill>
      <xdr:spPr>
        <a:xfrm>
          <a:off x="0" y="0"/>
          <a:ext cx="1181100" cy="885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153035</xdr:colOff>
      <xdr:row>0</xdr:row>
      <xdr:rowOff>200660</xdr:rowOff>
    </xdr:to>
    <xdr:pic>
      <xdr:nvPicPr>
        <xdr:cNvPr id="353" name="ID_B73FC96E15ED4AD2BE00058CF815E97C" descr="262"/>
        <xdr:cNvPicPr/>
      </xdr:nvPicPr>
      <xdr:blipFill>
        <a:blip r:embed="rId397"/>
        <a:srcRect/>
        <a:stretch>
          <a:fillRect/>
        </a:stretch>
      </xdr:blipFill>
      <xdr:spPr>
        <a:xfrm>
          <a:off x="1760220" y="129661285"/>
          <a:ext cx="920750" cy="200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450850</xdr:colOff>
      <xdr:row>1</xdr:row>
      <xdr:rowOff>138430</xdr:rowOff>
    </xdr:to>
    <xdr:pic>
      <xdr:nvPicPr>
        <xdr:cNvPr id="437" name="ID_35048C2135BC4BC58BB12F14FAC6A151" descr="335"/>
        <xdr:cNvPicPr/>
      </xdr:nvPicPr>
      <xdr:blipFill>
        <a:blip r:embed="rId398"/>
        <a:srcRect/>
        <a:stretch>
          <a:fillRect/>
        </a:stretch>
      </xdr:blipFill>
      <xdr:spPr>
        <a:xfrm>
          <a:off x="1982470" y="104909620"/>
          <a:ext cx="450850" cy="3517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64135</xdr:colOff>
      <xdr:row>1</xdr:row>
      <xdr:rowOff>142875</xdr:rowOff>
    </xdr:to>
    <xdr:pic>
      <xdr:nvPicPr>
        <xdr:cNvPr id="282" name="ID_DE40DE109500469694BA0FAC81360305" descr="391"/>
        <xdr:cNvPicPr/>
      </xdr:nvPicPr>
      <xdr:blipFill>
        <a:blip r:embed="rId399"/>
        <a:srcRect/>
        <a:stretch>
          <a:fillRect/>
        </a:stretch>
      </xdr:blipFill>
      <xdr:spPr>
        <a:xfrm>
          <a:off x="1891665" y="105648125"/>
          <a:ext cx="831850" cy="3562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45720</xdr:colOff>
      <xdr:row>5</xdr:row>
      <xdr:rowOff>152400</xdr:rowOff>
    </xdr:to>
    <xdr:pic>
      <xdr:nvPicPr>
        <xdr:cNvPr id="11" name="ID_EA1B55BD1D6948F68CA036E0E093B9D0" descr="core_image_url__exec_download_4173350412"/>
        <xdr:cNvPicPr/>
      </xdr:nvPicPr>
      <xdr:blipFill>
        <a:blip r:embed="rId400"/>
        <a:stretch>
          <a:fillRect/>
        </a:stretch>
      </xdr:blipFill>
      <xdr:spPr>
        <a:xfrm>
          <a:off x="0" y="0"/>
          <a:ext cx="1581150" cy="121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45720</xdr:colOff>
      <xdr:row>4</xdr:row>
      <xdr:rowOff>41910</xdr:rowOff>
    </xdr:to>
    <xdr:pic>
      <xdr:nvPicPr>
        <xdr:cNvPr id="17" name="ID_30291C4D86E641EABE7C6B0FA428B1F2" descr="core_image_url__exec_download_3620242948"/>
        <xdr:cNvPicPr/>
      </xdr:nvPicPr>
      <xdr:blipFill>
        <a:blip r:embed="rId401"/>
        <a:stretch>
          <a:fillRect/>
        </a:stretch>
      </xdr:blipFill>
      <xdr:spPr>
        <a:xfrm>
          <a:off x="0" y="0"/>
          <a:ext cx="1581150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268605</xdr:colOff>
      <xdr:row>6</xdr:row>
      <xdr:rowOff>62865</xdr:rowOff>
    </xdr:to>
    <xdr:pic>
      <xdr:nvPicPr>
        <xdr:cNvPr id="18" name="ID_958B51C47A704EF1B734371BAA188CAB" descr="core_image_url__exec_download_1483182615"/>
        <xdr:cNvPicPr/>
      </xdr:nvPicPr>
      <xdr:blipFill>
        <a:blip r:embed="rId402"/>
        <a:stretch>
          <a:fillRect/>
        </a:stretch>
      </xdr:blipFill>
      <xdr:spPr>
        <a:xfrm>
          <a:off x="0" y="0"/>
          <a:ext cx="2571750" cy="1343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140970</xdr:colOff>
      <xdr:row>4</xdr:row>
      <xdr:rowOff>99060</xdr:rowOff>
    </xdr:to>
    <xdr:pic>
      <xdr:nvPicPr>
        <xdr:cNvPr id="22" name="ID_1ECEB5B2456A45EDACDF96D91D11AC06" descr="core_image_url__exec_download_3189577690"/>
        <xdr:cNvPicPr/>
      </xdr:nvPicPr>
      <xdr:blipFill>
        <a:blip r:embed="rId403"/>
        <a:stretch>
          <a:fillRect/>
        </a:stretch>
      </xdr:blipFill>
      <xdr:spPr>
        <a:xfrm>
          <a:off x="0" y="0"/>
          <a:ext cx="167640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611505</xdr:colOff>
      <xdr:row>4</xdr:row>
      <xdr:rowOff>182880</xdr:rowOff>
    </xdr:to>
    <xdr:pic>
      <xdr:nvPicPr>
        <xdr:cNvPr id="36" name="ID_520C709D4E4F4889A535A7316C514960" descr="core_image_url__exec_download_91409042"/>
        <xdr:cNvPicPr/>
      </xdr:nvPicPr>
      <xdr:blipFill>
        <a:blip r:embed="rId404"/>
        <a:stretch>
          <a:fillRect/>
        </a:stretch>
      </xdr:blipFill>
      <xdr:spPr>
        <a:xfrm>
          <a:off x="0" y="0"/>
          <a:ext cx="1379220" cy="10363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731520</xdr:colOff>
      <xdr:row>3</xdr:row>
      <xdr:rowOff>167640</xdr:rowOff>
    </xdr:to>
    <xdr:pic>
      <xdr:nvPicPr>
        <xdr:cNvPr id="49" name="ID_07EEA2C05AEA4522A7A77D89A5B9520D" descr="core_image_url__exec_download_215890557"/>
        <xdr:cNvPicPr/>
      </xdr:nvPicPr>
      <xdr:blipFill>
        <a:blip r:embed="rId405"/>
        <a:stretch>
          <a:fillRect/>
        </a:stretch>
      </xdr:blipFill>
      <xdr:spPr>
        <a:xfrm>
          <a:off x="0" y="0"/>
          <a:ext cx="731520" cy="8077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699135</xdr:colOff>
      <xdr:row>6</xdr:row>
      <xdr:rowOff>62865</xdr:rowOff>
    </xdr:to>
    <xdr:pic>
      <xdr:nvPicPr>
        <xdr:cNvPr id="64" name="ID_91C0EA420DC446C79CC0B0B8EC36CDDB" descr="core_image_url__exec_download_473809098"/>
        <xdr:cNvPicPr/>
      </xdr:nvPicPr>
      <xdr:blipFill>
        <a:blip r:embed="rId406"/>
        <a:stretch>
          <a:fillRect/>
        </a:stretch>
      </xdr:blipFill>
      <xdr:spPr>
        <a:xfrm>
          <a:off x="0" y="0"/>
          <a:ext cx="1466850" cy="1343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363855</xdr:colOff>
      <xdr:row>11</xdr:row>
      <xdr:rowOff>43815</xdr:rowOff>
    </xdr:to>
    <xdr:pic>
      <xdr:nvPicPr>
        <xdr:cNvPr id="65" name="ID_9988C6BC3CD342F7BA16B25EC1A22491" descr="core_image_url__exec_download_4047822008"/>
        <xdr:cNvPicPr/>
      </xdr:nvPicPr>
      <xdr:blipFill>
        <a:blip r:embed="rId407"/>
        <a:stretch>
          <a:fillRect/>
        </a:stretch>
      </xdr:blipFill>
      <xdr:spPr>
        <a:xfrm>
          <a:off x="0" y="0"/>
          <a:ext cx="2667000" cy="2390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567690</xdr:colOff>
      <xdr:row>14</xdr:row>
      <xdr:rowOff>41910</xdr:rowOff>
    </xdr:to>
    <xdr:pic>
      <xdr:nvPicPr>
        <xdr:cNvPr id="68" name="ID_57BD713B15D84D2189521FCCD96B8878" descr="core_image_url__exec_download_123815609"/>
        <xdr:cNvPicPr/>
      </xdr:nvPicPr>
      <xdr:blipFill>
        <a:blip r:embed="rId408"/>
        <a:stretch>
          <a:fillRect/>
        </a:stretch>
      </xdr:blipFill>
      <xdr:spPr>
        <a:xfrm>
          <a:off x="0" y="0"/>
          <a:ext cx="36385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280035</xdr:colOff>
      <xdr:row>3</xdr:row>
      <xdr:rowOff>7620</xdr:rowOff>
    </xdr:to>
    <xdr:pic>
      <xdr:nvPicPr>
        <xdr:cNvPr id="74" name="ID_F4C55B62ABAB4778966EB9D4DC250495" descr="core_image_url__exec_download_3261142537"/>
        <xdr:cNvPicPr/>
      </xdr:nvPicPr>
      <xdr:blipFill>
        <a:blip r:embed="rId409"/>
        <a:stretch>
          <a:fillRect/>
        </a:stretch>
      </xdr:blipFill>
      <xdr:spPr>
        <a:xfrm>
          <a:off x="0" y="0"/>
          <a:ext cx="1047750" cy="6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628650</xdr:colOff>
      <xdr:row>2</xdr:row>
      <xdr:rowOff>189865</xdr:rowOff>
    </xdr:to>
    <xdr:pic>
      <xdr:nvPicPr>
        <xdr:cNvPr id="77" name="ID_ADFF4242ACDC4C1E8922C5211B0CB8F2" descr="core_image_url__exec_download_3477357291"/>
        <xdr:cNvPicPr>
          <a:picLocks noChangeAspect="1"/>
        </xdr:cNvPicPr>
      </xdr:nvPicPr>
      <xdr:blipFill>
        <a:blip r:embed="rId410"/>
        <a:stretch>
          <a:fillRect/>
        </a:stretch>
      </xdr:blipFill>
      <xdr:spPr>
        <a:xfrm>
          <a:off x="3133725" y="20336510"/>
          <a:ext cx="628650" cy="616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603885</xdr:colOff>
      <xdr:row>4</xdr:row>
      <xdr:rowOff>41910</xdr:rowOff>
    </xdr:to>
    <xdr:pic>
      <xdr:nvPicPr>
        <xdr:cNvPr id="80" name="ID_5E548517A81747188C1F29F05BA21B3E" descr="core_image_url__exec_download_2816814897"/>
        <xdr:cNvPicPr/>
      </xdr:nvPicPr>
      <xdr:blipFill>
        <a:blip r:embed="rId411"/>
        <a:stretch>
          <a:fillRect/>
        </a:stretch>
      </xdr:blipFill>
      <xdr:spPr>
        <a:xfrm>
          <a:off x="0" y="0"/>
          <a:ext cx="1371600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575310</xdr:colOff>
      <xdr:row>2</xdr:row>
      <xdr:rowOff>192405</xdr:rowOff>
    </xdr:to>
    <xdr:pic>
      <xdr:nvPicPr>
        <xdr:cNvPr id="88" name="ID_B8B095D47121436B9C03BD98E50FCEA8" descr="core_image_url__exec_download_54840931"/>
        <xdr:cNvPicPr/>
      </xdr:nvPicPr>
      <xdr:blipFill>
        <a:blip r:embed="rId412"/>
        <a:stretch>
          <a:fillRect/>
        </a:stretch>
      </xdr:blipFill>
      <xdr:spPr>
        <a:xfrm>
          <a:off x="0" y="0"/>
          <a:ext cx="1343025" cy="619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535305</xdr:colOff>
      <xdr:row>7</xdr:row>
      <xdr:rowOff>201930</xdr:rowOff>
    </xdr:to>
    <xdr:pic>
      <xdr:nvPicPr>
        <xdr:cNvPr id="90" name="ID_84EEA0B5A986414E935CFA01C8C1179D" descr="core_image_url__exec_download_1848864230"/>
        <xdr:cNvPicPr/>
      </xdr:nvPicPr>
      <xdr:blipFill>
        <a:blip r:embed="rId413"/>
        <a:stretch>
          <a:fillRect/>
        </a:stretch>
      </xdr:blipFill>
      <xdr:spPr>
        <a:xfrm>
          <a:off x="0" y="0"/>
          <a:ext cx="2838450" cy="1695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457200</xdr:colOff>
      <xdr:row>6</xdr:row>
      <xdr:rowOff>43815</xdr:rowOff>
    </xdr:to>
    <xdr:pic>
      <xdr:nvPicPr>
        <xdr:cNvPr id="93" name="ID_87A7856F5C9E414882ACF41EAA0490DE" descr="core_image_url__exec_download_3278741772"/>
        <xdr:cNvPicPr/>
      </xdr:nvPicPr>
      <xdr:blipFill>
        <a:blip r:embed="rId414"/>
        <a:stretch>
          <a:fillRect/>
        </a:stretch>
      </xdr:blipFill>
      <xdr:spPr>
        <a:xfrm>
          <a:off x="0" y="0"/>
          <a:ext cx="4295775" cy="1323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733425</xdr:colOff>
      <xdr:row>5</xdr:row>
      <xdr:rowOff>209550</xdr:rowOff>
    </xdr:to>
    <xdr:pic>
      <xdr:nvPicPr>
        <xdr:cNvPr id="105" name="ID_76E474DE828D489192F56701365A3142" descr="core_image_url__exec_download_3342489090"/>
        <xdr:cNvPicPr/>
      </xdr:nvPicPr>
      <xdr:blipFill>
        <a:blip r:embed="rId415"/>
        <a:stretch>
          <a:fillRect/>
        </a:stretch>
      </xdr:blipFill>
      <xdr:spPr>
        <a:xfrm>
          <a:off x="0" y="0"/>
          <a:ext cx="733425" cy="1276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746760</xdr:colOff>
      <xdr:row>6</xdr:row>
      <xdr:rowOff>34290</xdr:rowOff>
    </xdr:to>
    <xdr:pic>
      <xdr:nvPicPr>
        <xdr:cNvPr id="108" name="ID_3D97F5B04F194992BAF3BB622E5D8905" descr="core_image_url__exec_download_3780310660"/>
        <xdr:cNvPicPr/>
      </xdr:nvPicPr>
      <xdr:blipFill>
        <a:blip r:embed="rId416"/>
        <a:stretch>
          <a:fillRect/>
        </a:stretch>
      </xdr:blipFill>
      <xdr:spPr>
        <a:xfrm>
          <a:off x="0" y="0"/>
          <a:ext cx="5353050" cy="1314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521970</xdr:colOff>
      <xdr:row>6</xdr:row>
      <xdr:rowOff>91440</xdr:rowOff>
    </xdr:to>
    <xdr:pic>
      <xdr:nvPicPr>
        <xdr:cNvPr id="128" name="ID_285980C74B484B649ABF9578B5716018" descr="core_image_url__exec_download_2096958270"/>
        <xdr:cNvPicPr/>
      </xdr:nvPicPr>
      <xdr:blipFill>
        <a:blip r:embed="rId417"/>
        <a:stretch>
          <a:fillRect/>
        </a:stretch>
      </xdr:blipFill>
      <xdr:spPr>
        <a:xfrm>
          <a:off x="0" y="0"/>
          <a:ext cx="2057400" cy="1371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15240</xdr:colOff>
      <xdr:row>9</xdr:row>
      <xdr:rowOff>60960</xdr:rowOff>
    </xdr:to>
    <xdr:pic>
      <xdr:nvPicPr>
        <xdr:cNvPr id="215" name="ID_7B5158A17789498A8D834031C3E33640" descr="core_image_url__exec_download_1743682852"/>
        <xdr:cNvPicPr/>
      </xdr:nvPicPr>
      <xdr:blipFill>
        <a:blip r:embed="rId418"/>
        <a:stretch>
          <a:fillRect/>
        </a:stretch>
      </xdr:blipFill>
      <xdr:spPr>
        <a:xfrm>
          <a:off x="0" y="0"/>
          <a:ext cx="3086100" cy="1981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622935</xdr:colOff>
      <xdr:row>4</xdr:row>
      <xdr:rowOff>175260</xdr:rowOff>
    </xdr:to>
    <xdr:pic>
      <xdr:nvPicPr>
        <xdr:cNvPr id="223" name="ID_90F664FF3092482E88CBF880BDA4B569" descr="core_image_url__exec_download_1306147840"/>
        <xdr:cNvPicPr/>
      </xdr:nvPicPr>
      <xdr:blipFill>
        <a:blip r:embed="rId419"/>
        <a:stretch>
          <a:fillRect/>
        </a:stretch>
      </xdr:blipFill>
      <xdr:spPr>
        <a:xfrm>
          <a:off x="0" y="0"/>
          <a:ext cx="1390650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521970</xdr:colOff>
      <xdr:row>3</xdr:row>
      <xdr:rowOff>198120</xdr:rowOff>
    </xdr:to>
    <xdr:pic>
      <xdr:nvPicPr>
        <xdr:cNvPr id="230" name="ID_4BF55F14A142459EB532265324BD3749" descr="core_image_url__exec_download_620750138"/>
        <xdr:cNvPicPr/>
      </xdr:nvPicPr>
      <xdr:blipFill>
        <a:blip r:embed="rId420"/>
        <a:stretch>
          <a:fillRect/>
        </a:stretch>
      </xdr:blipFill>
      <xdr:spPr>
        <a:xfrm>
          <a:off x="0" y="0"/>
          <a:ext cx="2057400" cy="838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609600</xdr:colOff>
      <xdr:row>3</xdr:row>
      <xdr:rowOff>121920</xdr:rowOff>
    </xdr:to>
    <xdr:pic>
      <xdr:nvPicPr>
        <xdr:cNvPr id="234" name="ID_80F5D71C4E4048E3AD05902146EECBBC" descr="core_image_url__exec_download_3535317485"/>
        <xdr:cNvPicPr/>
      </xdr:nvPicPr>
      <xdr:blipFill>
        <a:blip r:embed="rId421"/>
        <a:stretch>
          <a:fillRect/>
        </a:stretch>
      </xdr:blipFill>
      <xdr:spPr>
        <a:xfrm>
          <a:off x="0" y="0"/>
          <a:ext cx="609600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234315</xdr:colOff>
      <xdr:row>8</xdr:row>
      <xdr:rowOff>179070</xdr:rowOff>
    </xdr:to>
    <xdr:pic>
      <xdr:nvPicPr>
        <xdr:cNvPr id="268" name="ID_55237EA7755144A79BA0CE0B0D0DFA79" descr="core_image_url__exec_download_1239525292"/>
        <xdr:cNvPicPr/>
      </xdr:nvPicPr>
      <xdr:blipFill>
        <a:blip r:embed="rId422"/>
        <a:stretch>
          <a:fillRect/>
        </a:stretch>
      </xdr:blipFill>
      <xdr:spPr>
        <a:xfrm>
          <a:off x="0" y="0"/>
          <a:ext cx="3305175" cy="1885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550545</xdr:colOff>
      <xdr:row>5</xdr:row>
      <xdr:rowOff>142875</xdr:rowOff>
    </xdr:to>
    <xdr:pic>
      <xdr:nvPicPr>
        <xdr:cNvPr id="272" name="ID_46F1983C397A4FD6BFF180E27E0A8A05" descr="core_image_url__exec_download_1950417788"/>
        <xdr:cNvPicPr/>
      </xdr:nvPicPr>
      <xdr:blipFill>
        <a:blip r:embed="rId423"/>
        <a:stretch>
          <a:fillRect/>
        </a:stretch>
      </xdr:blipFill>
      <xdr:spPr>
        <a:xfrm>
          <a:off x="0" y="0"/>
          <a:ext cx="2085975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626745</xdr:colOff>
      <xdr:row>8</xdr:row>
      <xdr:rowOff>198120</xdr:rowOff>
    </xdr:to>
    <xdr:pic>
      <xdr:nvPicPr>
        <xdr:cNvPr id="275" name="ID_C12F59D03A324D8DAA9519D8E6ECF0F0" descr="core_image_url__exec_download_2099542578"/>
        <xdr:cNvPicPr/>
      </xdr:nvPicPr>
      <xdr:blipFill>
        <a:blip r:embed="rId424"/>
        <a:stretch>
          <a:fillRect/>
        </a:stretch>
      </xdr:blipFill>
      <xdr:spPr>
        <a:xfrm>
          <a:off x="0" y="0"/>
          <a:ext cx="2162175" cy="1905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236220</xdr:colOff>
      <xdr:row>14</xdr:row>
      <xdr:rowOff>184785</xdr:rowOff>
    </xdr:to>
    <xdr:pic>
      <xdr:nvPicPr>
        <xdr:cNvPr id="281" name="ID_B63310D719F2421F9C5159377896EF38" descr="core_image_url__exec_download_394190455"/>
        <xdr:cNvPicPr/>
      </xdr:nvPicPr>
      <xdr:blipFill>
        <a:blip r:embed="rId425"/>
        <a:stretch>
          <a:fillRect/>
        </a:stretch>
      </xdr:blipFill>
      <xdr:spPr>
        <a:xfrm>
          <a:off x="0" y="0"/>
          <a:ext cx="1771650" cy="3171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154305</xdr:colOff>
      <xdr:row>9</xdr:row>
      <xdr:rowOff>175260</xdr:rowOff>
    </xdr:to>
    <xdr:pic>
      <xdr:nvPicPr>
        <xdr:cNvPr id="289" name="ID_BA3EF43C209440E893E40DD7407CB7C0" descr="core_image_url__exec_download_2754755360"/>
        <xdr:cNvPicPr/>
      </xdr:nvPicPr>
      <xdr:blipFill>
        <a:blip r:embed="rId426"/>
        <a:stretch>
          <a:fillRect/>
        </a:stretch>
      </xdr:blipFill>
      <xdr:spPr>
        <a:xfrm>
          <a:off x="0" y="0"/>
          <a:ext cx="2457450" cy="2095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26670</xdr:colOff>
      <xdr:row>7</xdr:row>
      <xdr:rowOff>201930</xdr:rowOff>
    </xdr:to>
    <xdr:pic>
      <xdr:nvPicPr>
        <xdr:cNvPr id="293" name="ID_E2C8DB4E26F14716809D057B1A4C5313" descr="core_image_url__exec_download_4184284122"/>
        <xdr:cNvPicPr/>
      </xdr:nvPicPr>
      <xdr:blipFill>
        <a:blip r:embed="rId427"/>
        <a:stretch>
          <a:fillRect/>
        </a:stretch>
      </xdr:blipFill>
      <xdr:spPr>
        <a:xfrm>
          <a:off x="0" y="0"/>
          <a:ext cx="1562100" cy="1695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356235</xdr:colOff>
      <xdr:row>3</xdr:row>
      <xdr:rowOff>160020</xdr:rowOff>
    </xdr:to>
    <xdr:pic>
      <xdr:nvPicPr>
        <xdr:cNvPr id="294" name="ID_68F24F6167EC47EA83EAB897DF474AC7" descr="core_image_url__exec_download_2473132238"/>
        <xdr:cNvPicPr/>
      </xdr:nvPicPr>
      <xdr:blipFill>
        <a:blip r:embed="rId428"/>
        <a:stretch>
          <a:fillRect/>
        </a:stretch>
      </xdr:blipFill>
      <xdr:spPr>
        <a:xfrm>
          <a:off x="0" y="0"/>
          <a:ext cx="112395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241935</xdr:colOff>
      <xdr:row>4</xdr:row>
      <xdr:rowOff>80010</xdr:rowOff>
    </xdr:to>
    <xdr:pic>
      <xdr:nvPicPr>
        <xdr:cNvPr id="298" name="ID_E011EC943CF8490B882A2F8A3AB4C4E0" descr="core_image_url__exec_download_2192721832"/>
        <xdr:cNvPicPr/>
      </xdr:nvPicPr>
      <xdr:blipFill>
        <a:blip r:embed="rId429"/>
        <a:stretch>
          <a:fillRect/>
        </a:stretch>
      </xdr:blipFill>
      <xdr:spPr>
        <a:xfrm>
          <a:off x="0" y="0"/>
          <a:ext cx="1009650" cy="933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7620</xdr:colOff>
      <xdr:row>5</xdr:row>
      <xdr:rowOff>9525</xdr:rowOff>
    </xdr:to>
    <xdr:pic>
      <xdr:nvPicPr>
        <xdr:cNvPr id="304" name="ID_C73908FE6E46476F975EB3931B64951E" descr="core_image_url__exec_download_3377691299"/>
        <xdr:cNvPicPr/>
      </xdr:nvPicPr>
      <xdr:blipFill>
        <a:blip r:embed="rId430"/>
        <a:stretch>
          <a:fillRect/>
        </a:stretch>
      </xdr:blipFill>
      <xdr:spPr>
        <a:xfrm>
          <a:off x="0" y="0"/>
          <a:ext cx="1543050" cy="1076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306705</xdr:colOff>
      <xdr:row>5</xdr:row>
      <xdr:rowOff>19050</xdr:rowOff>
    </xdr:to>
    <xdr:pic>
      <xdr:nvPicPr>
        <xdr:cNvPr id="320" name="ID_63E466FBB8BD44B083B60400B5B8072A" descr="core_image_url__exec_download_186816352"/>
        <xdr:cNvPicPr/>
      </xdr:nvPicPr>
      <xdr:blipFill>
        <a:blip r:embed="rId431"/>
        <a:stretch>
          <a:fillRect/>
        </a:stretch>
      </xdr:blipFill>
      <xdr:spPr>
        <a:xfrm>
          <a:off x="0" y="0"/>
          <a:ext cx="260985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270510</xdr:colOff>
      <xdr:row>3</xdr:row>
      <xdr:rowOff>198120</xdr:rowOff>
    </xdr:to>
    <xdr:pic>
      <xdr:nvPicPr>
        <xdr:cNvPr id="323" name="ID_7467F63D43744AFBB9D07683D88C5E4A" descr="core_image_url__exec_download_1535850629"/>
        <xdr:cNvPicPr/>
      </xdr:nvPicPr>
      <xdr:blipFill>
        <a:blip r:embed="rId432"/>
        <a:stretch>
          <a:fillRect/>
        </a:stretch>
      </xdr:blipFill>
      <xdr:spPr>
        <a:xfrm>
          <a:off x="0" y="0"/>
          <a:ext cx="1038225" cy="838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542925</xdr:colOff>
      <xdr:row>2</xdr:row>
      <xdr:rowOff>201930</xdr:rowOff>
    </xdr:to>
    <xdr:pic>
      <xdr:nvPicPr>
        <xdr:cNvPr id="327" name="ID_75AF365889864EFE9D23874FC42D5A57" descr="core_image_url__exec_download_1543728045"/>
        <xdr:cNvPicPr/>
      </xdr:nvPicPr>
      <xdr:blipFill>
        <a:blip r:embed="rId433"/>
        <a:stretch>
          <a:fillRect/>
        </a:stretch>
      </xdr:blipFill>
      <xdr:spPr>
        <a:xfrm>
          <a:off x="0" y="0"/>
          <a:ext cx="438150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542925</xdr:colOff>
      <xdr:row>2</xdr:row>
      <xdr:rowOff>49530</xdr:rowOff>
    </xdr:to>
    <xdr:pic>
      <xdr:nvPicPr>
        <xdr:cNvPr id="328" name="ID_E182AF5DBC3E44A09C763FF3F6A0D0D4" descr="core_image_url__exec_download_209019088"/>
        <xdr:cNvPicPr/>
      </xdr:nvPicPr>
      <xdr:blipFill>
        <a:blip r:embed="rId434"/>
        <a:stretch>
          <a:fillRect/>
        </a:stretch>
      </xdr:blipFill>
      <xdr:spPr>
        <a:xfrm>
          <a:off x="0" y="0"/>
          <a:ext cx="542925" cy="476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609600</xdr:colOff>
      <xdr:row>3</xdr:row>
      <xdr:rowOff>121920</xdr:rowOff>
    </xdr:to>
    <xdr:pic>
      <xdr:nvPicPr>
        <xdr:cNvPr id="331" name="ID_7713A9F7079B48BB8431270354DBD862" descr="core_image_url__exec_download_4031063384"/>
        <xdr:cNvPicPr/>
      </xdr:nvPicPr>
      <xdr:blipFill>
        <a:blip r:embed="rId421"/>
        <a:stretch>
          <a:fillRect/>
        </a:stretch>
      </xdr:blipFill>
      <xdr:spPr>
        <a:xfrm>
          <a:off x="0" y="0"/>
          <a:ext cx="609600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622935</xdr:colOff>
      <xdr:row>9</xdr:row>
      <xdr:rowOff>99060</xdr:rowOff>
    </xdr:to>
    <xdr:pic>
      <xdr:nvPicPr>
        <xdr:cNvPr id="332" name="ID_88DFCE459E0949498855A37AAAC9E48D" descr="core_image_url__exec_download_1046131332"/>
        <xdr:cNvPicPr/>
      </xdr:nvPicPr>
      <xdr:blipFill>
        <a:blip r:embed="rId435"/>
        <a:stretch>
          <a:fillRect/>
        </a:stretch>
      </xdr:blipFill>
      <xdr:spPr>
        <a:xfrm>
          <a:off x="0" y="0"/>
          <a:ext cx="13906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243840</xdr:colOff>
      <xdr:row>8</xdr:row>
      <xdr:rowOff>179070</xdr:rowOff>
    </xdr:to>
    <xdr:pic>
      <xdr:nvPicPr>
        <xdr:cNvPr id="346" name="ID_11CE00CC58C546FFA5DF1156AE0B29EB" descr="core_image_url__exec_download_1088757328"/>
        <xdr:cNvPicPr/>
      </xdr:nvPicPr>
      <xdr:blipFill>
        <a:blip r:embed="rId436"/>
        <a:stretch>
          <a:fillRect/>
        </a:stretch>
      </xdr:blipFill>
      <xdr:spPr>
        <a:xfrm>
          <a:off x="0" y="0"/>
          <a:ext cx="3314700" cy="1885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241935</xdr:colOff>
      <xdr:row>4</xdr:row>
      <xdr:rowOff>80010</xdr:rowOff>
    </xdr:to>
    <xdr:pic>
      <xdr:nvPicPr>
        <xdr:cNvPr id="351" name="ID_25A48BBF509F44B0A7FCE1AE47FDD486" descr="core_image_url__exec_download_2888953876"/>
        <xdr:cNvPicPr/>
      </xdr:nvPicPr>
      <xdr:blipFill>
        <a:blip r:embed="rId437"/>
        <a:stretch>
          <a:fillRect/>
        </a:stretch>
      </xdr:blipFill>
      <xdr:spPr>
        <a:xfrm>
          <a:off x="0" y="0"/>
          <a:ext cx="1009650" cy="933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236220</xdr:colOff>
      <xdr:row>6</xdr:row>
      <xdr:rowOff>167640</xdr:rowOff>
    </xdr:to>
    <xdr:pic>
      <xdr:nvPicPr>
        <xdr:cNvPr id="352" name="ID_69F975F78DDB4333BBFB4C1021EEC516" descr="core_image_url__exec_download_923700428"/>
        <xdr:cNvPicPr/>
      </xdr:nvPicPr>
      <xdr:blipFill>
        <a:blip r:embed="rId438"/>
        <a:stretch>
          <a:fillRect/>
        </a:stretch>
      </xdr:blipFill>
      <xdr:spPr>
        <a:xfrm>
          <a:off x="0" y="0"/>
          <a:ext cx="1771650" cy="1447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699135</xdr:colOff>
      <xdr:row>6</xdr:row>
      <xdr:rowOff>53340</xdr:rowOff>
    </xdr:to>
    <xdr:pic>
      <xdr:nvPicPr>
        <xdr:cNvPr id="354" name="ID_7FE87912D51B4A6BB027300B5EE32770" descr="core_image_url__exec_download_1842805030"/>
        <xdr:cNvPicPr/>
      </xdr:nvPicPr>
      <xdr:blipFill>
        <a:blip r:embed="rId439"/>
        <a:stretch>
          <a:fillRect/>
        </a:stretch>
      </xdr:blipFill>
      <xdr:spPr>
        <a:xfrm>
          <a:off x="0" y="0"/>
          <a:ext cx="1466850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45720</xdr:colOff>
      <xdr:row>6</xdr:row>
      <xdr:rowOff>15240</xdr:rowOff>
    </xdr:to>
    <xdr:pic>
      <xdr:nvPicPr>
        <xdr:cNvPr id="373" name="ID_29CF52B8E9554AE1806A51E2479AA8F4" descr="core_image_url__exec_download_666819990"/>
        <xdr:cNvPicPr/>
      </xdr:nvPicPr>
      <xdr:blipFill>
        <a:blip r:embed="rId440"/>
        <a:stretch>
          <a:fillRect/>
        </a:stretch>
      </xdr:blipFill>
      <xdr:spPr>
        <a:xfrm>
          <a:off x="0" y="0"/>
          <a:ext cx="1581150" cy="1295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45720</xdr:colOff>
      <xdr:row>7</xdr:row>
      <xdr:rowOff>201930</xdr:rowOff>
    </xdr:to>
    <xdr:pic>
      <xdr:nvPicPr>
        <xdr:cNvPr id="401" name="ID_DDBE2F3EC71844D2943759491E52935F" descr="core_image_url__exec_download_2146209051"/>
        <xdr:cNvPicPr/>
      </xdr:nvPicPr>
      <xdr:blipFill>
        <a:blip r:embed="rId441"/>
        <a:stretch>
          <a:fillRect/>
        </a:stretch>
      </xdr:blipFill>
      <xdr:spPr>
        <a:xfrm>
          <a:off x="0" y="0"/>
          <a:ext cx="1581150" cy="1695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739140</xdr:colOff>
      <xdr:row>17</xdr:row>
      <xdr:rowOff>182880</xdr:rowOff>
    </xdr:to>
    <xdr:pic>
      <xdr:nvPicPr>
        <xdr:cNvPr id="438" name="ID_F8AE1ABA2B8742C1A3E46810A4B6052B" descr="core_image_url__exec_download_2249909182"/>
        <xdr:cNvPicPr/>
      </xdr:nvPicPr>
      <xdr:blipFill>
        <a:blip r:embed="rId442"/>
        <a:stretch>
          <a:fillRect/>
        </a:stretch>
      </xdr:blipFill>
      <xdr:spPr>
        <a:xfrm>
          <a:off x="0" y="0"/>
          <a:ext cx="3810000" cy="381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116205</xdr:colOff>
      <xdr:row>3</xdr:row>
      <xdr:rowOff>207645</xdr:rowOff>
    </xdr:to>
    <xdr:pic>
      <xdr:nvPicPr>
        <xdr:cNvPr id="454" name="ID_D38D893329D54AC9B5B1CE8A7A417480" descr="core_image_url__exec_download_1139890720"/>
        <xdr:cNvPicPr/>
      </xdr:nvPicPr>
      <xdr:blipFill>
        <a:blip r:embed="rId443"/>
        <a:stretch>
          <a:fillRect/>
        </a:stretch>
      </xdr:blipFill>
      <xdr:spPr>
        <a:xfrm>
          <a:off x="0" y="0"/>
          <a:ext cx="2419350" cy="847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369570</xdr:colOff>
      <xdr:row>4</xdr:row>
      <xdr:rowOff>99060</xdr:rowOff>
    </xdr:to>
    <xdr:pic>
      <xdr:nvPicPr>
        <xdr:cNvPr id="459" name="ID_137F27B8A7244B418B7586F06DDE1614" descr="core_image_url__exec_download_1764832269"/>
        <xdr:cNvPicPr/>
      </xdr:nvPicPr>
      <xdr:blipFill>
        <a:blip r:embed="rId444"/>
        <a:stretch>
          <a:fillRect/>
        </a:stretch>
      </xdr:blipFill>
      <xdr:spPr>
        <a:xfrm>
          <a:off x="0" y="0"/>
          <a:ext cx="190500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622935</xdr:colOff>
      <xdr:row>6</xdr:row>
      <xdr:rowOff>186690</xdr:rowOff>
    </xdr:to>
    <xdr:pic>
      <xdr:nvPicPr>
        <xdr:cNvPr id="460" name="ID_4F27394080B740EBA1B313D5AEC03862" descr="core_image_url__exec_download_410770847"/>
        <xdr:cNvPicPr/>
      </xdr:nvPicPr>
      <xdr:blipFill>
        <a:blip r:embed="rId445"/>
        <a:stretch>
          <a:fillRect/>
        </a:stretch>
      </xdr:blipFill>
      <xdr:spPr>
        <a:xfrm>
          <a:off x="0" y="0"/>
          <a:ext cx="1390650" cy="1466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489585</xdr:colOff>
      <xdr:row>6</xdr:row>
      <xdr:rowOff>34290</xdr:rowOff>
    </xdr:to>
    <xdr:pic>
      <xdr:nvPicPr>
        <xdr:cNvPr id="474" name="ID_D72F1262FC5F4D2393FE4C0D6236A7E4" descr="core_image_url__exec_download_1590715534"/>
        <xdr:cNvPicPr/>
      </xdr:nvPicPr>
      <xdr:blipFill>
        <a:blip r:embed="rId446"/>
        <a:stretch>
          <a:fillRect/>
        </a:stretch>
      </xdr:blipFill>
      <xdr:spPr>
        <a:xfrm>
          <a:off x="0" y="0"/>
          <a:ext cx="1257300" cy="1314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255270</xdr:colOff>
      <xdr:row>6</xdr:row>
      <xdr:rowOff>53340</xdr:rowOff>
    </xdr:to>
    <xdr:pic>
      <xdr:nvPicPr>
        <xdr:cNvPr id="485" name="ID_E7102994D0F6450D900C0DCB8A116F1D" descr="core_image_url__exec_download_3865639131"/>
        <xdr:cNvPicPr/>
      </xdr:nvPicPr>
      <xdr:blipFill>
        <a:blip r:embed="rId447"/>
        <a:stretch>
          <a:fillRect/>
        </a:stretch>
      </xdr:blipFill>
      <xdr:spPr>
        <a:xfrm>
          <a:off x="0" y="0"/>
          <a:ext cx="1790700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661035</xdr:colOff>
      <xdr:row>4</xdr:row>
      <xdr:rowOff>41910</xdr:rowOff>
    </xdr:to>
    <xdr:pic>
      <xdr:nvPicPr>
        <xdr:cNvPr id="486" name="ID_B366BD26FB0E446EA48E1BAC64066872" descr="core_image_url__exec_download_1324287570"/>
        <xdr:cNvPicPr/>
      </xdr:nvPicPr>
      <xdr:blipFill>
        <a:blip r:embed="rId448"/>
        <a:stretch>
          <a:fillRect/>
        </a:stretch>
      </xdr:blipFill>
      <xdr:spPr>
        <a:xfrm>
          <a:off x="0" y="0"/>
          <a:ext cx="1428750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369570</xdr:colOff>
      <xdr:row>6</xdr:row>
      <xdr:rowOff>15240</xdr:rowOff>
    </xdr:to>
    <xdr:pic>
      <xdr:nvPicPr>
        <xdr:cNvPr id="524" name="ID_D153584A7A284534B85B53CA9CC2BB50" descr="core_image_url__exec_download_2471052416"/>
        <xdr:cNvPicPr/>
      </xdr:nvPicPr>
      <xdr:blipFill>
        <a:blip r:embed="rId449"/>
        <a:stretch>
          <a:fillRect/>
        </a:stretch>
      </xdr:blipFill>
      <xdr:spPr>
        <a:xfrm>
          <a:off x="0" y="0"/>
          <a:ext cx="1905000" cy="1295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712470</xdr:colOff>
      <xdr:row>4</xdr:row>
      <xdr:rowOff>137160</xdr:rowOff>
    </xdr:to>
    <xdr:pic>
      <xdr:nvPicPr>
        <xdr:cNvPr id="525" name="ID_FFC70D6A1596451C965EB6ADC1750B43" descr="core_image_url__exec_download_2129558483"/>
        <xdr:cNvPicPr/>
      </xdr:nvPicPr>
      <xdr:blipFill>
        <a:blip r:embed="rId450"/>
        <a:stretch>
          <a:fillRect/>
        </a:stretch>
      </xdr:blipFill>
      <xdr:spPr>
        <a:xfrm>
          <a:off x="0" y="0"/>
          <a:ext cx="2247900" cy="990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198120</xdr:colOff>
      <xdr:row>4</xdr:row>
      <xdr:rowOff>175260</xdr:rowOff>
    </xdr:to>
    <xdr:pic>
      <xdr:nvPicPr>
        <xdr:cNvPr id="528" name="ID_F56EC38F38254C61B6E932475C14E912" descr="core_image_url__exec_download_1603267686"/>
        <xdr:cNvPicPr/>
      </xdr:nvPicPr>
      <xdr:blipFill>
        <a:blip r:embed="rId451"/>
        <a:stretch>
          <a:fillRect/>
        </a:stretch>
      </xdr:blipFill>
      <xdr:spPr>
        <a:xfrm>
          <a:off x="0" y="0"/>
          <a:ext cx="1733550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699135</xdr:colOff>
      <xdr:row>6</xdr:row>
      <xdr:rowOff>53340</xdr:rowOff>
    </xdr:to>
    <xdr:pic>
      <xdr:nvPicPr>
        <xdr:cNvPr id="529" name="ID_3916F661AC894702B60000DB0B35C2C0" descr="core_image_url__exec_download_864318200"/>
        <xdr:cNvPicPr/>
      </xdr:nvPicPr>
      <xdr:blipFill>
        <a:blip r:embed="rId452"/>
        <a:stretch>
          <a:fillRect/>
        </a:stretch>
      </xdr:blipFill>
      <xdr:spPr>
        <a:xfrm>
          <a:off x="0" y="0"/>
          <a:ext cx="1466850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148590</xdr:colOff>
      <xdr:row>6</xdr:row>
      <xdr:rowOff>167640</xdr:rowOff>
    </xdr:to>
    <xdr:pic>
      <xdr:nvPicPr>
        <xdr:cNvPr id="530" name="ID_194B0ED21D694ADB9EB94585BE141CD6" descr="core_image_url__exec_download_3675238483"/>
        <xdr:cNvPicPr/>
      </xdr:nvPicPr>
      <xdr:blipFill>
        <a:blip r:embed="rId453"/>
        <a:stretch>
          <a:fillRect/>
        </a:stretch>
      </xdr:blipFill>
      <xdr:spPr>
        <a:xfrm>
          <a:off x="0" y="0"/>
          <a:ext cx="3219450" cy="1447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369570</xdr:colOff>
      <xdr:row>4</xdr:row>
      <xdr:rowOff>41910</xdr:rowOff>
    </xdr:to>
    <xdr:pic>
      <xdr:nvPicPr>
        <xdr:cNvPr id="563" name="ID_1284C49208514AA887685007090500C3" descr="core_image_url__exec_download_3436431369"/>
        <xdr:cNvPicPr/>
      </xdr:nvPicPr>
      <xdr:blipFill>
        <a:blip r:embed="rId454"/>
        <a:stretch>
          <a:fillRect/>
        </a:stretch>
      </xdr:blipFill>
      <xdr:spPr>
        <a:xfrm>
          <a:off x="0" y="0"/>
          <a:ext cx="1905000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222885</xdr:colOff>
      <xdr:row>4</xdr:row>
      <xdr:rowOff>105410</xdr:rowOff>
    </xdr:to>
    <xdr:pic>
      <xdr:nvPicPr>
        <xdr:cNvPr id="4" name="ID_0696D9BAA3F6474E81D6B4F86629E059" descr="upload_post_object_v2_753844829"/>
        <xdr:cNvPicPr/>
      </xdr:nvPicPr>
      <xdr:blipFill>
        <a:blip r:embed="rId455"/>
        <a:stretch>
          <a:fillRect/>
        </a:stretch>
      </xdr:blipFill>
      <xdr:spPr>
        <a:xfrm>
          <a:off x="0" y="0"/>
          <a:ext cx="990600" cy="95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160020</xdr:colOff>
      <xdr:row>10</xdr:row>
      <xdr:rowOff>53340</xdr:rowOff>
    </xdr:to>
    <xdr:pic>
      <xdr:nvPicPr>
        <xdr:cNvPr id="9" name="ID_5C873F5C8E14444883DB566FB5593942" descr="upload_post_object_v2_2428914068"/>
        <xdr:cNvPicPr/>
      </xdr:nvPicPr>
      <xdr:blipFill>
        <a:blip r:embed="rId456"/>
        <a:stretch>
          <a:fillRect/>
        </a:stretch>
      </xdr:blipFill>
      <xdr:spPr>
        <a:xfrm>
          <a:off x="0" y="0"/>
          <a:ext cx="3230880" cy="21869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421005</xdr:colOff>
      <xdr:row>8</xdr:row>
      <xdr:rowOff>179070</xdr:rowOff>
    </xdr:to>
    <xdr:pic>
      <xdr:nvPicPr>
        <xdr:cNvPr id="25" name="ID_8CE1B54F8F3E49A59054273DACDCD3A0" descr="upload_post_object_v2_2341764017"/>
        <xdr:cNvPicPr/>
      </xdr:nvPicPr>
      <xdr:blipFill>
        <a:blip r:embed="rId457"/>
        <a:stretch>
          <a:fillRect/>
        </a:stretch>
      </xdr:blipFill>
      <xdr:spPr>
        <a:xfrm>
          <a:off x="0" y="0"/>
          <a:ext cx="2724150" cy="1885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527685</xdr:colOff>
      <xdr:row>4</xdr:row>
      <xdr:rowOff>194310</xdr:rowOff>
    </xdr:to>
    <xdr:pic>
      <xdr:nvPicPr>
        <xdr:cNvPr id="27" name="ID_42E26F358BA141CA9B594DDE013EC113" descr="upload_post_object_v2_4112143532"/>
        <xdr:cNvPicPr/>
      </xdr:nvPicPr>
      <xdr:blipFill>
        <a:blip r:embed="rId458"/>
        <a:stretch>
          <a:fillRect/>
        </a:stretch>
      </xdr:blipFill>
      <xdr:spPr>
        <a:xfrm>
          <a:off x="0" y="0"/>
          <a:ext cx="1295400" cy="1047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553085</xdr:colOff>
      <xdr:row>6</xdr:row>
      <xdr:rowOff>2540</xdr:rowOff>
    </xdr:to>
    <xdr:pic>
      <xdr:nvPicPr>
        <xdr:cNvPr id="28" name="ID_C5B3F0A41B6D44BAB65CC1DEFEB8F75B" descr="upload_post_object_v2_251944569"/>
        <xdr:cNvPicPr/>
      </xdr:nvPicPr>
      <xdr:blipFill>
        <a:blip r:embed="rId459"/>
        <a:stretch>
          <a:fillRect/>
        </a:stretch>
      </xdr:blipFill>
      <xdr:spPr>
        <a:xfrm>
          <a:off x="0" y="0"/>
          <a:ext cx="1320800" cy="1282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45720</xdr:colOff>
      <xdr:row>5</xdr:row>
      <xdr:rowOff>38100</xdr:rowOff>
    </xdr:to>
    <xdr:pic>
      <xdr:nvPicPr>
        <xdr:cNvPr id="29" name="ID_D2748909D2EB42BD93D892E4A9A4B8F9" descr="upload_post_object_v2_3967815196"/>
        <xdr:cNvPicPr/>
      </xdr:nvPicPr>
      <xdr:blipFill>
        <a:blip r:embed="rId460"/>
        <a:stretch>
          <a:fillRect/>
        </a:stretch>
      </xdr:blipFill>
      <xdr:spPr>
        <a:xfrm>
          <a:off x="0" y="0"/>
          <a:ext cx="1581150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26035</xdr:colOff>
      <xdr:row>3</xdr:row>
      <xdr:rowOff>153670</xdr:rowOff>
    </xdr:to>
    <xdr:pic>
      <xdr:nvPicPr>
        <xdr:cNvPr id="30" name="ID_E4D895DCFAE44BD4AD4C9164BCA32830" descr="upload_post_object_v2_1450459208"/>
        <xdr:cNvPicPr/>
      </xdr:nvPicPr>
      <xdr:blipFill>
        <a:blip r:embed="rId461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501650</xdr:colOff>
      <xdr:row>2</xdr:row>
      <xdr:rowOff>74930</xdr:rowOff>
    </xdr:to>
    <xdr:pic>
      <xdr:nvPicPr>
        <xdr:cNvPr id="34" name="ID_89867A2ED92A4096B8B32B30A5141A01" descr="upload_post_object_v2_3643642741"/>
        <xdr:cNvPicPr/>
      </xdr:nvPicPr>
      <xdr:blipFill>
        <a:blip r:embed="rId462"/>
        <a:stretch>
          <a:fillRect/>
        </a:stretch>
      </xdr:blipFill>
      <xdr:spPr>
        <a:xfrm>
          <a:off x="0" y="0"/>
          <a:ext cx="501650" cy="501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26035</xdr:colOff>
      <xdr:row>3</xdr:row>
      <xdr:rowOff>153670</xdr:rowOff>
    </xdr:to>
    <xdr:pic>
      <xdr:nvPicPr>
        <xdr:cNvPr id="39" name="ID_E3649B6AF8EF410781B003F342C7478E" descr="upload_post_object_v2_3489928637"/>
        <xdr:cNvPicPr/>
      </xdr:nvPicPr>
      <xdr:blipFill>
        <a:blip r:embed="rId463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26035</xdr:colOff>
      <xdr:row>3</xdr:row>
      <xdr:rowOff>153670</xdr:rowOff>
    </xdr:to>
    <xdr:pic>
      <xdr:nvPicPr>
        <xdr:cNvPr id="40" name="ID_22FA65296B174D08AEC6CD4D9EC60763" descr="upload_post_object_v2_3294812461"/>
        <xdr:cNvPicPr/>
      </xdr:nvPicPr>
      <xdr:blipFill>
        <a:blip r:embed="rId464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26035</xdr:colOff>
      <xdr:row>3</xdr:row>
      <xdr:rowOff>153670</xdr:rowOff>
    </xdr:to>
    <xdr:pic>
      <xdr:nvPicPr>
        <xdr:cNvPr id="41" name="ID_2B82E4C721E947B980CA4913A7F995C8" descr="upload_post_object_v2_4024085838"/>
        <xdr:cNvPicPr/>
      </xdr:nvPicPr>
      <xdr:blipFill>
        <a:blip r:embed="rId465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26035</xdr:colOff>
      <xdr:row>3</xdr:row>
      <xdr:rowOff>153670</xdr:rowOff>
    </xdr:to>
    <xdr:pic>
      <xdr:nvPicPr>
        <xdr:cNvPr id="42" name="ID_0330D3E613FB4C2BA044B2FEBFF82D6C" descr="upload_post_object_v2_1349476992"/>
        <xdr:cNvPicPr/>
      </xdr:nvPicPr>
      <xdr:blipFill>
        <a:blip r:embed="rId466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26035</xdr:colOff>
      <xdr:row>3</xdr:row>
      <xdr:rowOff>153670</xdr:rowOff>
    </xdr:to>
    <xdr:pic>
      <xdr:nvPicPr>
        <xdr:cNvPr id="43" name="ID_2550CA6E8E5B47B0A1A6FD2559C207F0" descr="upload_post_object_v2_2785834128"/>
        <xdr:cNvPicPr/>
      </xdr:nvPicPr>
      <xdr:blipFill>
        <a:blip r:embed="rId467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26035</xdr:colOff>
      <xdr:row>3</xdr:row>
      <xdr:rowOff>153670</xdr:rowOff>
    </xdr:to>
    <xdr:pic>
      <xdr:nvPicPr>
        <xdr:cNvPr id="56" name="ID_5A1610F6746B4580B7155395AA920309" descr="upload_post_object_v2_2955800521"/>
        <xdr:cNvPicPr/>
      </xdr:nvPicPr>
      <xdr:blipFill>
        <a:blip r:embed="rId468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463550</xdr:colOff>
      <xdr:row>2</xdr:row>
      <xdr:rowOff>8255</xdr:rowOff>
    </xdr:to>
    <xdr:pic>
      <xdr:nvPicPr>
        <xdr:cNvPr id="69" name="ID_F190B8A0804B47E990C9A632B4905BDF" descr="upload_post_object_v2_2933631532"/>
        <xdr:cNvPicPr/>
      </xdr:nvPicPr>
      <xdr:blipFill>
        <a:blip r:embed="rId469"/>
        <a:stretch>
          <a:fillRect/>
        </a:stretch>
      </xdr:blipFill>
      <xdr:spPr>
        <a:xfrm>
          <a:off x="0" y="0"/>
          <a:ext cx="463550" cy="434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391160</xdr:colOff>
      <xdr:row>5</xdr:row>
      <xdr:rowOff>92075</xdr:rowOff>
    </xdr:to>
    <xdr:pic>
      <xdr:nvPicPr>
        <xdr:cNvPr id="91" name="ID_6ADF6AFDD27145FA9E77F1958700FAFD" descr="upload_post_object_v2_1884007740"/>
        <xdr:cNvPicPr/>
      </xdr:nvPicPr>
      <xdr:blipFill>
        <a:blip r:embed="rId470"/>
        <a:stretch>
          <a:fillRect/>
        </a:stretch>
      </xdr:blipFill>
      <xdr:spPr>
        <a:xfrm>
          <a:off x="0" y="0"/>
          <a:ext cx="1158875" cy="1158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26035</xdr:colOff>
      <xdr:row>3</xdr:row>
      <xdr:rowOff>153670</xdr:rowOff>
    </xdr:to>
    <xdr:pic>
      <xdr:nvPicPr>
        <xdr:cNvPr id="95" name="ID_74D7F688B3B444FF8AC661EE384C966F" descr="upload_post_object_v2_561129953"/>
        <xdr:cNvPicPr/>
      </xdr:nvPicPr>
      <xdr:blipFill>
        <a:blip r:embed="rId471"/>
        <a:stretch>
          <a:fillRect/>
        </a:stretch>
      </xdr:blipFill>
      <xdr:spPr>
        <a:xfrm>
          <a:off x="0" y="0"/>
          <a:ext cx="793750" cy="79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508635</xdr:colOff>
      <xdr:row>3</xdr:row>
      <xdr:rowOff>13970</xdr:rowOff>
    </xdr:to>
    <xdr:pic>
      <xdr:nvPicPr>
        <xdr:cNvPr id="96" name="ID_CB45C109264F4E1BB3F1CC747A5A6BF3" descr="upload_post_object_v2_3123221746"/>
        <xdr:cNvPicPr/>
      </xdr:nvPicPr>
      <xdr:blipFill>
        <a:blip r:embed="rId472"/>
        <a:stretch>
          <a:fillRect/>
        </a:stretch>
      </xdr:blipFill>
      <xdr:spPr>
        <a:xfrm>
          <a:off x="0" y="0"/>
          <a:ext cx="1276350" cy="654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185420</xdr:colOff>
      <xdr:row>3</xdr:row>
      <xdr:rowOff>160020</xdr:rowOff>
    </xdr:to>
    <xdr:pic>
      <xdr:nvPicPr>
        <xdr:cNvPr id="109" name="ID_F78445DFED914258A4679F7AAFC65D86" descr="upload_post_object_v2_372481818"/>
        <xdr:cNvPicPr/>
      </xdr:nvPicPr>
      <xdr:blipFill>
        <a:blip r:embed="rId473"/>
        <a:stretch>
          <a:fillRect/>
        </a:stretch>
      </xdr:blipFill>
      <xdr:spPr>
        <a:xfrm>
          <a:off x="0" y="0"/>
          <a:ext cx="172085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83185</xdr:colOff>
      <xdr:row>2</xdr:row>
      <xdr:rowOff>68580</xdr:rowOff>
    </xdr:to>
    <xdr:pic>
      <xdr:nvPicPr>
        <xdr:cNvPr id="110" name="ID_2611942B271F4361B5552DEAD9C6205A" descr="upload_post_object_v2_3019577833"/>
        <xdr:cNvPicPr/>
      </xdr:nvPicPr>
      <xdr:blipFill>
        <a:blip r:embed="rId474"/>
        <a:stretch>
          <a:fillRect/>
        </a:stretch>
      </xdr:blipFill>
      <xdr:spPr>
        <a:xfrm>
          <a:off x="0" y="0"/>
          <a:ext cx="850900" cy="495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279400</xdr:colOff>
      <xdr:row>1</xdr:row>
      <xdr:rowOff>78740</xdr:rowOff>
    </xdr:to>
    <xdr:pic>
      <xdr:nvPicPr>
        <xdr:cNvPr id="117" name="ID_1B3ADFF1AC3F4C46AC664161C05079DC" descr="upload_post_object_v2_795862871"/>
        <xdr:cNvPicPr/>
      </xdr:nvPicPr>
      <xdr:blipFill>
        <a:blip r:embed="rId475"/>
        <a:stretch>
          <a:fillRect/>
        </a:stretch>
      </xdr:blipFill>
      <xdr:spPr>
        <a:xfrm>
          <a:off x="0" y="0"/>
          <a:ext cx="279400" cy="292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159385</xdr:colOff>
      <xdr:row>3</xdr:row>
      <xdr:rowOff>71120</xdr:rowOff>
    </xdr:to>
    <xdr:pic>
      <xdr:nvPicPr>
        <xdr:cNvPr id="118" name="ID_CD5EC99DCD524E40A50BFDB1EE1E7E9A" descr="upload_post_object_v2_2875482693"/>
        <xdr:cNvPicPr/>
      </xdr:nvPicPr>
      <xdr:blipFill>
        <a:blip r:embed="rId476"/>
        <a:stretch>
          <a:fillRect/>
        </a:stretch>
      </xdr:blipFill>
      <xdr:spPr>
        <a:xfrm>
          <a:off x="0" y="0"/>
          <a:ext cx="927100" cy="711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293370</xdr:colOff>
      <xdr:row>2</xdr:row>
      <xdr:rowOff>43180</xdr:rowOff>
    </xdr:to>
    <xdr:pic>
      <xdr:nvPicPr>
        <xdr:cNvPr id="127" name="ID_3C00E7EEC02F4E8DAFF0B3100F09859A" descr="upload_post_object_v2_2626991222"/>
        <xdr:cNvPicPr/>
      </xdr:nvPicPr>
      <xdr:blipFill>
        <a:blip r:embed="rId477"/>
        <a:stretch>
          <a:fillRect/>
        </a:stretch>
      </xdr:blipFill>
      <xdr:spPr>
        <a:xfrm>
          <a:off x="0" y="0"/>
          <a:ext cx="1828800" cy="469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464185</xdr:colOff>
      <xdr:row>5</xdr:row>
      <xdr:rowOff>63500</xdr:rowOff>
    </xdr:to>
    <xdr:pic>
      <xdr:nvPicPr>
        <xdr:cNvPr id="129" name="ID_CF3192D76EBE480E950D4801E9ADB145" descr="upload_post_object_v2_3444441190"/>
        <xdr:cNvPicPr/>
      </xdr:nvPicPr>
      <xdr:blipFill>
        <a:blip r:embed="rId478"/>
        <a:stretch>
          <a:fillRect/>
        </a:stretch>
      </xdr:blipFill>
      <xdr:spPr>
        <a:xfrm>
          <a:off x="0" y="0"/>
          <a:ext cx="8909050" cy="1130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159385</xdr:colOff>
      <xdr:row>4</xdr:row>
      <xdr:rowOff>22860</xdr:rowOff>
    </xdr:to>
    <xdr:pic>
      <xdr:nvPicPr>
        <xdr:cNvPr id="132" name="ID_AB7E26F576F744BB991EAC81E40025AE" descr="upload_post_object_v2_4144145447"/>
        <xdr:cNvPicPr/>
      </xdr:nvPicPr>
      <xdr:blipFill>
        <a:blip r:embed="rId479"/>
        <a:stretch>
          <a:fillRect/>
        </a:stretch>
      </xdr:blipFill>
      <xdr:spPr>
        <a:xfrm>
          <a:off x="0" y="0"/>
          <a:ext cx="927100" cy="876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300355</xdr:colOff>
      <xdr:row>5</xdr:row>
      <xdr:rowOff>57150</xdr:rowOff>
    </xdr:to>
    <xdr:pic>
      <xdr:nvPicPr>
        <xdr:cNvPr id="133" name="ID_35BB982A888947C68C66E1D50A6D4730" descr="upload_post_object_v2_847721008"/>
        <xdr:cNvPicPr/>
      </xdr:nvPicPr>
      <xdr:blipFill>
        <a:blip r:embed="rId480"/>
        <a:stretch>
          <a:fillRect/>
        </a:stretch>
      </xdr:blipFill>
      <xdr:spPr>
        <a:xfrm>
          <a:off x="0" y="0"/>
          <a:ext cx="2603500" cy="1123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755650</xdr:colOff>
      <xdr:row>1</xdr:row>
      <xdr:rowOff>21590</xdr:rowOff>
    </xdr:to>
    <xdr:pic>
      <xdr:nvPicPr>
        <xdr:cNvPr id="135" name="ID_E61B0B75C7DD445492D5B807DAC2E92A" descr="upload_post_object_v2_2390031281"/>
        <xdr:cNvPicPr/>
      </xdr:nvPicPr>
      <xdr:blipFill>
        <a:blip r:embed="rId481"/>
        <a:stretch>
          <a:fillRect/>
        </a:stretch>
      </xdr:blipFill>
      <xdr:spPr>
        <a:xfrm>
          <a:off x="0" y="0"/>
          <a:ext cx="755650" cy="234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184785</xdr:colOff>
      <xdr:row>3</xdr:row>
      <xdr:rowOff>210820</xdr:rowOff>
    </xdr:to>
    <xdr:pic>
      <xdr:nvPicPr>
        <xdr:cNvPr id="136" name="ID_FF607DE2383946A082645266206A7791" descr="upload_post_object_v2_954565217"/>
        <xdr:cNvPicPr/>
      </xdr:nvPicPr>
      <xdr:blipFill>
        <a:blip r:embed="rId482"/>
        <a:stretch>
          <a:fillRect/>
        </a:stretch>
      </xdr:blipFill>
      <xdr:spPr>
        <a:xfrm>
          <a:off x="0" y="0"/>
          <a:ext cx="95250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540385</xdr:colOff>
      <xdr:row>4</xdr:row>
      <xdr:rowOff>22860</xdr:rowOff>
    </xdr:to>
    <xdr:pic>
      <xdr:nvPicPr>
        <xdr:cNvPr id="137" name="ID_49AE10BFAC2C48878D9410E542621286" descr="upload_post_object_v2_120588100"/>
        <xdr:cNvPicPr/>
      </xdr:nvPicPr>
      <xdr:blipFill>
        <a:blip r:embed="rId483"/>
        <a:stretch>
          <a:fillRect/>
        </a:stretch>
      </xdr:blipFill>
      <xdr:spPr>
        <a:xfrm>
          <a:off x="0" y="0"/>
          <a:ext cx="1308100" cy="876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603885</xdr:colOff>
      <xdr:row>2</xdr:row>
      <xdr:rowOff>132080</xdr:rowOff>
    </xdr:to>
    <xdr:pic>
      <xdr:nvPicPr>
        <xdr:cNvPr id="138" name="ID_3EA3D22E74A047CFBAE42BE985EB34C9" descr="upload_post_object_v2_4005036929"/>
        <xdr:cNvPicPr/>
      </xdr:nvPicPr>
      <xdr:blipFill>
        <a:blip r:embed="rId484"/>
        <a:stretch>
          <a:fillRect/>
        </a:stretch>
      </xdr:blipFill>
      <xdr:spPr>
        <a:xfrm>
          <a:off x="0" y="0"/>
          <a:ext cx="1371600" cy="55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603885</xdr:colOff>
      <xdr:row>3</xdr:row>
      <xdr:rowOff>204470</xdr:rowOff>
    </xdr:to>
    <xdr:pic>
      <xdr:nvPicPr>
        <xdr:cNvPr id="144" name="ID_D2950FBADF224635940781E9107CBA44" descr="upload_post_object_v2_3902045837"/>
        <xdr:cNvPicPr/>
      </xdr:nvPicPr>
      <xdr:blipFill>
        <a:blip r:embed="rId485"/>
        <a:stretch>
          <a:fillRect/>
        </a:stretch>
      </xdr:blipFill>
      <xdr:spPr>
        <a:xfrm>
          <a:off x="0" y="0"/>
          <a:ext cx="1371600" cy="84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596900</xdr:colOff>
      <xdr:row>1</xdr:row>
      <xdr:rowOff>2540</xdr:rowOff>
    </xdr:to>
    <xdr:pic>
      <xdr:nvPicPr>
        <xdr:cNvPr id="145" name="ID_938D21DD8B804266954E2EEF786225DE" descr="upload_post_object_v2_3678608847"/>
        <xdr:cNvPicPr/>
      </xdr:nvPicPr>
      <xdr:blipFill>
        <a:blip r:embed="rId486"/>
        <a:stretch>
          <a:fillRect/>
        </a:stretch>
      </xdr:blipFill>
      <xdr:spPr>
        <a:xfrm>
          <a:off x="0" y="0"/>
          <a:ext cx="596900" cy="215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140970</xdr:colOff>
      <xdr:row>5</xdr:row>
      <xdr:rowOff>152400</xdr:rowOff>
    </xdr:to>
    <xdr:pic>
      <xdr:nvPicPr>
        <xdr:cNvPr id="147" name="ID_963CEB56544641038003FF9B33FE7AF7" descr="upload_post_object_v2_4119430846"/>
        <xdr:cNvPicPr/>
      </xdr:nvPicPr>
      <xdr:blipFill>
        <a:blip r:embed="rId487"/>
        <a:stretch>
          <a:fillRect/>
        </a:stretch>
      </xdr:blipFill>
      <xdr:spPr>
        <a:xfrm>
          <a:off x="0" y="0"/>
          <a:ext cx="1676400" cy="121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249555</xdr:colOff>
      <xdr:row>6</xdr:row>
      <xdr:rowOff>80645</xdr:rowOff>
    </xdr:to>
    <xdr:pic>
      <xdr:nvPicPr>
        <xdr:cNvPr id="148" name="ID_4635FF210EA6472AB5C1A96B2106E988" descr="upload_post_object_v2_758419115"/>
        <xdr:cNvPicPr/>
      </xdr:nvPicPr>
      <xdr:blipFill>
        <a:blip r:embed="rId488"/>
        <a:stretch>
          <a:fillRect/>
        </a:stretch>
      </xdr:blipFill>
      <xdr:spPr>
        <a:xfrm>
          <a:off x="0" y="0"/>
          <a:ext cx="1784985" cy="13608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685800</xdr:colOff>
      <xdr:row>4</xdr:row>
      <xdr:rowOff>50165</xdr:rowOff>
    </xdr:to>
    <xdr:pic>
      <xdr:nvPicPr>
        <xdr:cNvPr id="149" name="ID_9BBD47968CF14F839D34925412F737F3" descr="upload_post_object_v2_2682712428"/>
        <xdr:cNvPicPr/>
      </xdr:nvPicPr>
      <xdr:blipFill>
        <a:blip r:embed="rId489"/>
        <a:stretch>
          <a:fillRect/>
        </a:stretch>
      </xdr:blipFill>
      <xdr:spPr>
        <a:xfrm>
          <a:off x="0" y="0"/>
          <a:ext cx="1453515" cy="9036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749300</xdr:colOff>
      <xdr:row>2</xdr:row>
      <xdr:rowOff>87630</xdr:rowOff>
    </xdr:to>
    <xdr:pic>
      <xdr:nvPicPr>
        <xdr:cNvPr id="150" name="ID_63B3EB77EA7A4F7CB07AFA29398407C2" descr="upload_post_object_v2_2712205520"/>
        <xdr:cNvPicPr/>
      </xdr:nvPicPr>
      <xdr:blipFill>
        <a:blip r:embed="rId490"/>
        <a:stretch>
          <a:fillRect/>
        </a:stretch>
      </xdr:blipFill>
      <xdr:spPr>
        <a:xfrm>
          <a:off x="0" y="0"/>
          <a:ext cx="749300" cy="514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571500</xdr:colOff>
      <xdr:row>4</xdr:row>
      <xdr:rowOff>104775</xdr:rowOff>
    </xdr:to>
    <xdr:pic>
      <xdr:nvPicPr>
        <xdr:cNvPr id="151" name="ID_8C4368F689A443099CB6E1366F42AE89" descr="upload_post_object_v2_379164517"/>
        <xdr:cNvPicPr/>
      </xdr:nvPicPr>
      <xdr:blipFill>
        <a:blip r:embed="rId491"/>
        <a:stretch>
          <a:fillRect/>
        </a:stretch>
      </xdr:blipFill>
      <xdr:spPr>
        <a:xfrm>
          <a:off x="0" y="0"/>
          <a:ext cx="1339215" cy="9582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102870</xdr:colOff>
      <xdr:row>4</xdr:row>
      <xdr:rowOff>127635</xdr:rowOff>
    </xdr:to>
    <xdr:pic>
      <xdr:nvPicPr>
        <xdr:cNvPr id="152" name="ID_E0213EC21ECE4C8DB0FEFE72C67BBF31" descr="upload_post_object_v2_1398037279"/>
        <xdr:cNvPicPr/>
      </xdr:nvPicPr>
      <xdr:blipFill>
        <a:blip r:embed="rId492"/>
        <a:stretch>
          <a:fillRect/>
        </a:stretch>
      </xdr:blipFill>
      <xdr:spPr>
        <a:xfrm>
          <a:off x="0" y="0"/>
          <a:ext cx="1638300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658495</xdr:colOff>
      <xdr:row>4</xdr:row>
      <xdr:rowOff>39370</xdr:rowOff>
    </xdr:to>
    <xdr:pic>
      <xdr:nvPicPr>
        <xdr:cNvPr id="153" name="ID_64175DFE4F2D413F87A11890F0283F8B" descr="upload_post_object_v2_704355545"/>
        <xdr:cNvPicPr/>
      </xdr:nvPicPr>
      <xdr:blipFill>
        <a:blip r:embed="rId493"/>
        <a:stretch>
          <a:fillRect/>
        </a:stretch>
      </xdr:blipFill>
      <xdr:spPr>
        <a:xfrm>
          <a:off x="0" y="0"/>
          <a:ext cx="1426210" cy="892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488950</xdr:colOff>
      <xdr:row>2</xdr:row>
      <xdr:rowOff>30480</xdr:rowOff>
    </xdr:to>
    <xdr:pic>
      <xdr:nvPicPr>
        <xdr:cNvPr id="155" name="ID_35D5C523FA0B4581A92DA254863FFB7E" descr="upload_post_object_v2_2277964678"/>
        <xdr:cNvPicPr/>
      </xdr:nvPicPr>
      <xdr:blipFill>
        <a:blip r:embed="rId494"/>
        <a:stretch>
          <a:fillRect/>
        </a:stretch>
      </xdr:blipFill>
      <xdr:spPr>
        <a:xfrm>
          <a:off x="0" y="0"/>
          <a:ext cx="4889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734695</xdr:colOff>
      <xdr:row>3</xdr:row>
      <xdr:rowOff>149225</xdr:rowOff>
    </xdr:to>
    <xdr:pic>
      <xdr:nvPicPr>
        <xdr:cNvPr id="156" name="ID_A49BB6101CD943ACA7EA26C6507959D4" descr="upload_post_object_v2_3892372616"/>
        <xdr:cNvPicPr/>
      </xdr:nvPicPr>
      <xdr:blipFill>
        <a:blip r:embed="rId495"/>
        <a:stretch>
          <a:fillRect/>
        </a:stretch>
      </xdr:blipFill>
      <xdr:spPr>
        <a:xfrm>
          <a:off x="0" y="0"/>
          <a:ext cx="1502410" cy="7893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445770</xdr:colOff>
      <xdr:row>4</xdr:row>
      <xdr:rowOff>50165</xdr:rowOff>
    </xdr:to>
    <xdr:pic>
      <xdr:nvPicPr>
        <xdr:cNvPr id="157" name="ID_50EB399F86864CF99FBBB8E5FC3383EB" descr="upload_post_object_v2_3693536876"/>
        <xdr:cNvPicPr/>
      </xdr:nvPicPr>
      <xdr:blipFill>
        <a:blip r:embed="rId496"/>
        <a:stretch>
          <a:fillRect/>
        </a:stretch>
      </xdr:blipFill>
      <xdr:spPr>
        <a:xfrm>
          <a:off x="0" y="0"/>
          <a:ext cx="1213485" cy="9036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712470</xdr:colOff>
      <xdr:row>4</xdr:row>
      <xdr:rowOff>77470</xdr:rowOff>
    </xdr:to>
    <xdr:pic>
      <xdr:nvPicPr>
        <xdr:cNvPr id="158" name="ID_7213B2C4E83B43259147F30A63B9F6F3" descr="upload_post_object_v2_627911520"/>
        <xdr:cNvPicPr/>
      </xdr:nvPicPr>
      <xdr:blipFill>
        <a:blip r:embed="rId497"/>
        <a:stretch>
          <a:fillRect/>
        </a:stretch>
      </xdr:blipFill>
      <xdr:spPr>
        <a:xfrm>
          <a:off x="0" y="0"/>
          <a:ext cx="1480185" cy="9309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480060</xdr:colOff>
      <xdr:row>4</xdr:row>
      <xdr:rowOff>60960</xdr:rowOff>
    </xdr:to>
    <xdr:pic>
      <xdr:nvPicPr>
        <xdr:cNvPr id="161" name="ID_B9963188EDAD454C9AB6987C33EAEE12" descr="upload_post_object_v2_850654272"/>
        <xdr:cNvPicPr/>
      </xdr:nvPicPr>
      <xdr:blipFill>
        <a:blip r:embed="rId498"/>
        <a:stretch>
          <a:fillRect/>
        </a:stretch>
      </xdr:blipFill>
      <xdr:spPr>
        <a:xfrm>
          <a:off x="0" y="0"/>
          <a:ext cx="1247775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210185</xdr:colOff>
      <xdr:row>2</xdr:row>
      <xdr:rowOff>132080</xdr:rowOff>
    </xdr:to>
    <xdr:pic>
      <xdr:nvPicPr>
        <xdr:cNvPr id="162" name="ID_3FC9EB8E74FC448B90D845BB4FB1709F" descr="upload_post_object_v2_1697972344"/>
        <xdr:cNvPicPr/>
      </xdr:nvPicPr>
      <xdr:blipFill>
        <a:blip r:embed="rId499"/>
        <a:stretch>
          <a:fillRect/>
        </a:stretch>
      </xdr:blipFill>
      <xdr:spPr>
        <a:xfrm>
          <a:off x="0" y="0"/>
          <a:ext cx="977900" cy="55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495300</xdr:colOff>
      <xdr:row>4</xdr:row>
      <xdr:rowOff>39370</xdr:rowOff>
    </xdr:to>
    <xdr:pic>
      <xdr:nvPicPr>
        <xdr:cNvPr id="163" name="ID_C0AB42AEB6A24AAEB9F1DA340639DE47" descr="upload_post_object_v2_1797262925"/>
        <xdr:cNvPicPr/>
      </xdr:nvPicPr>
      <xdr:blipFill>
        <a:blip r:embed="rId500"/>
        <a:stretch>
          <a:fillRect/>
        </a:stretch>
      </xdr:blipFill>
      <xdr:spPr>
        <a:xfrm>
          <a:off x="0" y="0"/>
          <a:ext cx="1263015" cy="892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571500</xdr:colOff>
      <xdr:row>4</xdr:row>
      <xdr:rowOff>207645</xdr:rowOff>
    </xdr:to>
    <xdr:pic>
      <xdr:nvPicPr>
        <xdr:cNvPr id="164" name="ID_C219F1FB8207463FACE2846FED802B1F" descr="upload_post_object_v2_962446981"/>
        <xdr:cNvPicPr/>
      </xdr:nvPicPr>
      <xdr:blipFill>
        <a:blip r:embed="rId501"/>
        <a:stretch>
          <a:fillRect/>
        </a:stretch>
      </xdr:blipFill>
      <xdr:spPr>
        <a:xfrm>
          <a:off x="0" y="0"/>
          <a:ext cx="1339215" cy="10610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74295</xdr:colOff>
      <xdr:row>5</xdr:row>
      <xdr:rowOff>171450</xdr:rowOff>
    </xdr:to>
    <xdr:pic>
      <xdr:nvPicPr>
        <xdr:cNvPr id="165" name="ID_038E259D2B104565A54D8ED0888A651D" descr="upload_post_object_v2_330703493"/>
        <xdr:cNvPicPr/>
      </xdr:nvPicPr>
      <xdr:blipFill>
        <a:blip r:embed="rId502"/>
        <a:stretch>
          <a:fillRect/>
        </a:stretch>
      </xdr:blipFill>
      <xdr:spPr>
        <a:xfrm>
          <a:off x="0" y="0"/>
          <a:ext cx="1609725" cy="1238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533400</xdr:colOff>
      <xdr:row>4</xdr:row>
      <xdr:rowOff>93345</xdr:rowOff>
    </xdr:to>
    <xdr:pic>
      <xdr:nvPicPr>
        <xdr:cNvPr id="166" name="ID_99DBA1FDDE1440F39B1F1CC7022C2A4B" descr="upload_post_object_v2_4111107818"/>
        <xdr:cNvPicPr/>
      </xdr:nvPicPr>
      <xdr:blipFill>
        <a:blip r:embed="rId503"/>
        <a:stretch>
          <a:fillRect/>
        </a:stretch>
      </xdr:blipFill>
      <xdr:spPr>
        <a:xfrm>
          <a:off x="0" y="0"/>
          <a:ext cx="1301115" cy="9467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571500</xdr:colOff>
      <xdr:row>4</xdr:row>
      <xdr:rowOff>126365</xdr:rowOff>
    </xdr:to>
    <xdr:pic>
      <xdr:nvPicPr>
        <xdr:cNvPr id="173" name="ID_4EF42AA2A2AD4E3E94BEB622C41F94AE" descr="upload_post_object_v2_593075416"/>
        <xdr:cNvPicPr/>
      </xdr:nvPicPr>
      <xdr:blipFill>
        <a:blip r:embed="rId504"/>
        <a:stretch>
          <a:fillRect/>
        </a:stretch>
      </xdr:blipFill>
      <xdr:spPr>
        <a:xfrm>
          <a:off x="0" y="0"/>
          <a:ext cx="1339215" cy="9798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469900</xdr:colOff>
      <xdr:row>2</xdr:row>
      <xdr:rowOff>55880</xdr:rowOff>
    </xdr:to>
    <xdr:pic>
      <xdr:nvPicPr>
        <xdr:cNvPr id="175" name="ID_C9697A7509FD47F1A37A2C434F779786" descr="upload_post_object_v2_1469705209"/>
        <xdr:cNvPicPr/>
      </xdr:nvPicPr>
      <xdr:blipFill>
        <a:blip r:embed="rId505"/>
        <a:stretch>
          <a:fillRect/>
        </a:stretch>
      </xdr:blipFill>
      <xdr:spPr>
        <a:xfrm>
          <a:off x="0" y="0"/>
          <a:ext cx="469900" cy="482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469900</xdr:colOff>
      <xdr:row>2</xdr:row>
      <xdr:rowOff>55880</xdr:rowOff>
    </xdr:to>
    <xdr:pic>
      <xdr:nvPicPr>
        <xdr:cNvPr id="176" name="ID_56F0EF34EE804FBEB49A3B9C44199CB9" descr="upload_post_object_v2_4018780759"/>
        <xdr:cNvPicPr/>
      </xdr:nvPicPr>
      <xdr:blipFill>
        <a:blip r:embed="rId505"/>
        <a:stretch>
          <a:fillRect/>
        </a:stretch>
      </xdr:blipFill>
      <xdr:spPr>
        <a:xfrm>
          <a:off x="0" y="0"/>
          <a:ext cx="469900" cy="482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349885</xdr:colOff>
      <xdr:row>2</xdr:row>
      <xdr:rowOff>195580</xdr:rowOff>
    </xdr:to>
    <xdr:pic>
      <xdr:nvPicPr>
        <xdr:cNvPr id="177" name="ID_8FD8C34FF3D149DBBFE23EF5A217AB4B" descr="upload_post_object_v2_2119166130"/>
        <xdr:cNvPicPr/>
      </xdr:nvPicPr>
      <xdr:blipFill>
        <a:blip r:embed="rId506"/>
        <a:stretch>
          <a:fillRect/>
        </a:stretch>
      </xdr:blipFill>
      <xdr:spPr>
        <a:xfrm>
          <a:off x="0" y="0"/>
          <a:ext cx="1117600" cy="622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127635</xdr:colOff>
      <xdr:row>2</xdr:row>
      <xdr:rowOff>81280</xdr:rowOff>
    </xdr:to>
    <xdr:pic>
      <xdr:nvPicPr>
        <xdr:cNvPr id="178" name="ID_A4A052E48C9747968ACE98BBDCEA8F6D" descr="upload_post_object_v2_731886895"/>
        <xdr:cNvPicPr/>
      </xdr:nvPicPr>
      <xdr:blipFill>
        <a:blip r:embed="rId507"/>
        <a:stretch>
          <a:fillRect/>
        </a:stretch>
      </xdr:blipFill>
      <xdr:spPr>
        <a:xfrm>
          <a:off x="0" y="0"/>
          <a:ext cx="895350" cy="50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647700</xdr:colOff>
      <xdr:row>1</xdr:row>
      <xdr:rowOff>129540</xdr:rowOff>
    </xdr:to>
    <xdr:pic>
      <xdr:nvPicPr>
        <xdr:cNvPr id="179" name="ID_BA083B9E7AB64266AFD6D4D0A9A3049D" descr="upload_post_object_v2_3135098177"/>
        <xdr:cNvPicPr/>
      </xdr:nvPicPr>
      <xdr:blipFill>
        <a:blip r:embed="rId508"/>
        <a:stretch>
          <a:fillRect/>
        </a:stretch>
      </xdr:blipFill>
      <xdr:spPr>
        <a:xfrm>
          <a:off x="0" y="0"/>
          <a:ext cx="647700" cy="342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692785</xdr:colOff>
      <xdr:row>3</xdr:row>
      <xdr:rowOff>210820</xdr:rowOff>
    </xdr:to>
    <xdr:pic>
      <xdr:nvPicPr>
        <xdr:cNvPr id="180" name="ID_2ED285EB39EF4710915AE2160E600868" descr="upload_post_object_v2_3947710359"/>
        <xdr:cNvPicPr/>
      </xdr:nvPicPr>
      <xdr:blipFill>
        <a:blip r:embed="rId509"/>
        <a:stretch>
          <a:fillRect/>
        </a:stretch>
      </xdr:blipFill>
      <xdr:spPr>
        <a:xfrm>
          <a:off x="0" y="0"/>
          <a:ext cx="146050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616585</xdr:colOff>
      <xdr:row>2</xdr:row>
      <xdr:rowOff>195580</xdr:rowOff>
    </xdr:to>
    <xdr:pic>
      <xdr:nvPicPr>
        <xdr:cNvPr id="181" name="ID_CDDB5D935DD5491E845E9F236EAFBE90" descr="upload_post_object_v2_3442566682"/>
        <xdr:cNvPicPr/>
      </xdr:nvPicPr>
      <xdr:blipFill>
        <a:blip r:embed="rId510"/>
        <a:stretch>
          <a:fillRect/>
        </a:stretch>
      </xdr:blipFill>
      <xdr:spPr>
        <a:xfrm>
          <a:off x="0" y="0"/>
          <a:ext cx="1384300" cy="622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83185</xdr:colOff>
      <xdr:row>1</xdr:row>
      <xdr:rowOff>78740</xdr:rowOff>
    </xdr:to>
    <xdr:pic>
      <xdr:nvPicPr>
        <xdr:cNvPr id="182" name="ID_A29AD8E2B82A468BA9744DE22C9AD0AA" descr="upload_post_object_v2_1928447347"/>
        <xdr:cNvPicPr/>
      </xdr:nvPicPr>
      <xdr:blipFill>
        <a:blip r:embed="rId511"/>
        <a:stretch>
          <a:fillRect/>
        </a:stretch>
      </xdr:blipFill>
      <xdr:spPr>
        <a:xfrm>
          <a:off x="0" y="0"/>
          <a:ext cx="850900" cy="292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508000</xdr:colOff>
      <xdr:row>1</xdr:row>
      <xdr:rowOff>2540</xdr:rowOff>
    </xdr:to>
    <xdr:pic>
      <xdr:nvPicPr>
        <xdr:cNvPr id="183" name="ID_E7149C05E737467AAF05EC17C2185880" descr="upload_post_object_v2_1579829933"/>
        <xdr:cNvPicPr/>
      </xdr:nvPicPr>
      <xdr:blipFill>
        <a:blip r:embed="rId512"/>
        <a:stretch>
          <a:fillRect/>
        </a:stretch>
      </xdr:blipFill>
      <xdr:spPr>
        <a:xfrm>
          <a:off x="0" y="0"/>
          <a:ext cx="508000" cy="215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723900</xdr:colOff>
      <xdr:row>1</xdr:row>
      <xdr:rowOff>15240</xdr:rowOff>
    </xdr:to>
    <xdr:pic>
      <xdr:nvPicPr>
        <xdr:cNvPr id="185" name="ID_CDD8C0A7C0B4497DA25FA64DCF7FCC54" descr="upload_post_object_v2_3050229880"/>
        <xdr:cNvPicPr/>
      </xdr:nvPicPr>
      <xdr:blipFill>
        <a:blip r:embed="rId513"/>
        <a:stretch>
          <a:fillRect/>
        </a:stretch>
      </xdr:blipFill>
      <xdr:spPr>
        <a:xfrm>
          <a:off x="0" y="0"/>
          <a:ext cx="7239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159385</xdr:colOff>
      <xdr:row>1</xdr:row>
      <xdr:rowOff>2540</xdr:rowOff>
    </xdr:to>
    <xdr:pic>
      <xdr:nvPicPr>
        <xdr:cNvPr id="186" name="ID_077017B9F7FE4EDA80BA8E71CEF57608" descr="upload_post_object_v2_2556462405"/>
        <xdr:cNvPicPr/>
      </xdr:nvPicPr>
      <xdr:blipFill>
        <a:blip r:embed="rId514"/>
        <a:stretch>
          <a:fillRect/>
        </a:stretch>
      </xdr:blipFill>
      <xdr:spPr>
        <a:xfrm>
          <a:off x="0" y="0"/>
          <a:ext cx="927100" cy="215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178435</xdr:colOff>
      <xdr:row>3</xdr:row>
      <xdr:rowOff>71120</xdr:rowOff>
    </xdr:to>
    <xdr:pic>
      <xdr:nvPicPr>
        <xdr:cNvPr id="188" name="ID_50D6CC3017C8434C93931EEAF49271B3" descr="upload_post_object_v2_3597110071"/>
        <xdr:cNvPicPr/>
      </xdr:nvPicPr>
      <xdr:blipFill>
        <a:blip r:embed="rId515"/>
        <a:stretch>
          <a:fillRect/>
        </a:stretch>
      </xdr:blipFill>
      <xdr:spPr>
        <a:xfrm>
          <a:off x="0" y="0"/>
          <a:ext cx="946150" cy="711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159385</xdr:colOff>
      <xdr:row>2</xdr:row>
      <xdr:rowOff>132080</xdr:rowOff>
    </xdr:to>
    <xdr:pic>
      <xdr:nvPicPr>
        <xdr:cNvPr id="189" name="ID_9A622A29E5284CCEA9BC8D62E53B188E" descr="upload_post_object_v2_1493039685"/>
        <xdr:cNvPicPr/>
      </xdr:nvPicPr>
      <xdr:blipFill>
        <a:blip r:embed="rId516"/>
        <a:stretch>
          <a:fillRect/>
        </a:stretch>
      </xdr:blipFill>
      <xdr:spPr>
        <a:xfrm>
          <a:off x="0" y="0"/>
          <a:ext cx="927100" cy="55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711200</xdr:colOff>
      <xdr:row>3</xdr:row>
      <xdr:rowOff>45720</xdr:rowOff>
    </xdr:to>
    <xdr:pic>
      <xdr:nvPicPr>
        <xdr:cNvPr id="190" name="ID_ADFA9CC14FD94E259F3C39113764795B" descr="upload_post_object_v2_4200145591"/>
        <xdr:cNvPicPr/>
      </xdr:nvPicPr>
      <xdr:blipFill>
        <a:blip r:embed="rId517"/>
        <a:stretch>
          <a:fillRect/>
        </a:stretch>
      </xdr:blipFill>
      <xdr:spPr>
        <a:xfrm>
          <a:off x="0" y="0"/>
          <a:ext cx="7112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248285</xdr:colOff>
      <xdr:row>2</xdr:row>
      <xdr:rowOff>68580</xdr:rowOff>
    </xdr:to>
    <xdr:pic>
      <xdr:nvPicPr>
        <xdr:cNvPr id="191" name="ID_130F8F34D1B04AED818E1140BE396139" descr="upload_post_object_v2_1477816207"/>
        <xdr:cNvPicPr/>
      </xdr:nvPicPr>
      <xdr:blipFill>
        <a:blip r:embed="rId518"/>
        <a:stretch>
          <a:fillRect/>
        </a:stretch>
      </xdr:blipFill>
      <xdr:spPr>
        <a:xfrm>
          <a:off x="0" y="0"/>
          <a:ext cx="1016000" cy="495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540385</xdr:colOff>
      <xdr:row>4</xdr:row>
      <xdr:rowOff>22860</xdr:rowOff>
    </xdr:to>
    <xdr:pic>
      <xdr:nvPicPr>
        <xdr:cNvPr id="192" name="ID_F778B0EAC01A4675975D646B36CD5CA3" descr="upload_post_object_v2_3709800600"/>
        <xdr:cNvPicPr/>
      </xdr:nvPicPr>
      <xdr:blipFill>
        <a:blip r:embed="rId519"/>
        <a:stretch>
          <a:fillRect/>
        </a:stretch>
      </xdr:blipFill>
      <xdr:spPr>
        <a:xfrm>
          <a:off x="0" y="0"/>
          <a:ext cx="1308100" cy="876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680085</xdr:colOff>
      <xdr:row>6</xdr:row>
      <xdr:rowOff>60960</xdr:rowOff>
    </xdr:to>
    <xdr:pic>
      <xdr:nvPicPr>
        <xdr:cNvPr id="154" name="ID_3E7D677B8228408AB07A3C9A37FB1141" descr="upload_post_object_v2_1044387144"/>
        <xdr:cNvPicPr/>
      </xdr:nvPicPr>
      <xdr:blipFill>
        <a:blip r:embed="rId520"/>
        <a:stretch>
          <a:fillRect/>
        </a:stretch>
      </xdr:blipFill>
      <xdr:spPr>
        <a:xfrm>
          <a:off x="0" y="0"/>
          <a:ext cx="1447800" cy="13411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573405</xdr:colOff>
      <xdr:row>4</xdr:row>
      <xdr:rowOff>53340</xdr:rowOff>
    </xdr:to>
    <xdr:pic>
      <xdr:nvPicPr>
        <xdr:cNvPr id="193" name="ID_3B2B155A65E540B284072DDBE9789504" descr="upload_post_object_v2_731610697"/>
        <xdr:cNvPicPr/>
      </xdr:nvPicPr>
      <xdr:blipFill>
        <a:blip r:embed="rId521"/>
        <a:stretch>
          <a:fillRect/>
        </a:stretch>
      </xdr:blipFill>
      <xdr:spPr>
        <a:xfrm>
          <a:off x="0" y="0"/>
          <a:ext cx="1341120" cy="906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573405</xdr:colOff>
      <xdr:row>4</xdr:row>
      <xdr:rowOff>0</xdr:rowOff>
    </xdr:to>
    <xdr:pic>
      <xdr:nvPicPr>
        <xdr:cNvPr id="194" name="ID_6728483EF0ED49389D46459A47922B73" descr="upload_post_object_v2_4210049916"/>
        <xdr:cNvPicPr/>
      </xdr:nvPicPr>
      <xdr:blipFill>
        <a:blip r:embed="rId522"/>
        <a:stretch>
          <a:fillRect/>
        </a:stretch>
      </xdr:blipFill>
      <xdr:spPr>
        <a:xfrm>
          <a:off x="0" y="0"/>
          <a:ext cx="1341120" cy="853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763905</xdr:colOff>
      <xdr:row>5</xdr:row>
      <xdr:rowOff>53340</xdr:rowOff>
    </xdr:to>
    <xdr:pic>
      <xdr:nvPicPr>
        <xdr:cNvPr id="195" name="ID_717AD798A07A474FA962AF952A6921E8" descr="upload_post_object_v2_3216934800"/>
        <xdr:cNvPicPr/>
      </xdr:nvPicPr>
      <xdr:blipFill>
        <a:blip r:embed="rId523"/>
        <a:stretch>
          <a:fillRect/>
        </a:stretch>
      </xdr:blipFill>
      <xdr:spPr>
        <a:xfrm>
          <a:off x="0" y="0"/>
          <a:ext cx="1531620" cy="11201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19050</xdr:colOff>
      <xdr:row>3</xdr:row>
      <xdr:rowOff>137160</xdr:rowOff>
    </xdr:to>
    <xdr:pic>
      <xdr:nvPicPr>
        <xdr:cNvPr id="197" name="ID_6D7B0B3CEB1546E2AB8C4254045A4216" descr="upload_post_object_v2_334358704"/>
        <xdr:cNvPicPr/>
      </xdr:nvPicPr>
      <xdr:blipFill>
        <a:blip r:embed="rId524"/>
        <a:stretch>
          <a:fillRect/>
        </a:stretch>
      </xdr:blipFill>
      <xdr:spPr>
        <a:xfrm>
          <a:off x="0" y="0"/>
          <a:ext cx="1554480" cy="7772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34290</xdr:colOff>
      <xdr:row>3</xdr:row>
      <xdr:rowOff>205740</xdr:rowOff>
    </xdr:to>
    <xdr:pic>
      <xdr:nvPicPr>
        <xdr:cNvPr id="199" name="ID_D9A82693E61045ADA33F5D3DA6B7827B" descr="upload_post_object_v2_1038749314"/>
        <xdr:cNvPicPr/>
      </xdr:nvPicPr>
      <xdr:blipFill>
        <a:blip r:embed="rId525"/>
        <a:stretch>
          <a:fillRect/>
        </a:stretch>
      </xdr:blipFill>
      <xdr:spPr>
        <a:xfrm>
          <a:off x="0" y="0"/>
          <a:ext cx="1569720" cy="845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19050</xdr:colOff>
      <xdr:row>4</xdr:row>
      <xdr:rowOff>38100</xdr:rowOff>
    </xdr:to>
    <xdr:pic>
      <xdr:nvPicPr>
        <xdr:cNvPr id="200" name="ID_F0B131702F554576953078CCFDD607D3" descr="upload_post_object_v2_3215094612"/>
        <xdr:cNvPicPr/>
      </xdr:nvPicPr>
      <xdr:blipFill>
        <a:blip r:embed="rId526"/>
        <a:stretch>
          <a:fillRect/>
        </a:stretch>
      </xdr:blipFill>
      <xdr:spPr>
        <a:xfrm>
          <a:off x="0" y="0"/>
          <a:ext cx="1554480" cy="891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26670</xdr:colOff>
      <xdr:row>6</xdr:row>
      <xdr:rowOff>198120</xdr:rowOff>
    </xdr:to>
    <xdr:pic>
      <xdr:nvPicPr>
        <xdr:cNvPr id="202" name="ID_351144BD473E46CF900F0E964E12F48B" descr="upload_post_object_v2_2717938375"/>
        <xdr:cNvPicPr/>
      </xdr:nvPicPr>
      <xdr:blipFill>
        <a:blip r:embed="rId527"/>
        <a:stretch>
          <a:fillRect/>
        </a:stretch>
      </xdr:blipFill>
      <xdr:spPr>
        <a:xfrm>
          <a:off x="0" y="0"/>
          <a:ext cx="156210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763905</xdr:colOff>
      <xdr:row>4</xdr:row>
      <xdr:rowOff>190500</xdr:rowOff>
    </xdr:to>
    <xdr:pic>
      <xdr:nvPicPr>
        <xdr:cNvPr id="203" name="ID_2254D4E2792B40D596455186C150708F" descr="upload_post_object_v2_613714459"/>
        <xdr:cNvPicPr/>
      </xdr:nvPicPr>
      <xdr:blipFill>
        <a:blip r:embed="rId528"/>
        <a:stretch>
          <a:fillRect/>
        </a:stretch>
      </xdr:blipFill>
      <xdr:spPr>
        <a:xfrm>
          <a:off x="0" y="0"/>
          <a:ext cx="1531620" cy="10439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34290</xdr:colOff>
      <xdr:row>4</xdr:row>
      <xdr:rowOff>182880</xdr:rowOff>
    </xdr:to>
    <xdr:pic>
      <xdr:nvPicPr>
        <xdr:cNvPr id="204" name="ID_274A868EC17A46CA9783BB4FE5355275" descr="upload_post_object_v2_3174938719"/>
        <xdr:cNvPicPr/>
      </xdr:nvPicPr>
      <xdr:blipFill>
        <a:blip r:embed="rId529"/>
        <a:stretch>
          <a:fillRect/>
        </a:stretch>
      </xdr:blipFill>
      <xdr:spPr>
        <a:xfrm>
          <a:off x="0" y="0"/>
          <a:ext cx="1569720" cy="10363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763905</xdr:colOff>
      <xdr:row>3</xdr:row>
      <xdr:rowOff>53340</xdr:rowOff>
    </xdr:to>
    <xdr:pic>
      <xdr:nvPicPr>
        <xdr:cNvPr id="205" name="ID_5A087E6E8252477595044F3001A9C46C" descr="upload_post_object_v2_1107929473"/>
        <xdr:cNvPicPr/>
      </xdr:nvPicPr>
      <xdr:blipFill>
        <a:blip r:embed="rId530"/>
        <a:stretch>
          <a:fillRect/>
        </a:stretch>
      </xdr:blipFill>
      <xdr:spPr>
        <a:xfrm>
          <a:off x="0" y="0"/>
          <a:ext cx="1531620" cy="6934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146685</xdr:colOff>
      <xdr:row>2</xdr:row>
      <xdr:rowOff>132080</xdr:rowOff>
    </xdr:to>
    <xdr:pic>
      <xdr:nvPicPr>
        <xdr:cNvPr id="159" name="ID_F8421794999F47D6BD369E032F1384ED" descr="upload_post_object_v2_2470560259"/>
        <xdr:cNvPicPr/>
      </xdr:nvPicPr>
      <xdr:blipFill>
        <a:blip r:embed="rId531"/>
        <a:stretch>
          <a:fillRect/>
        </a:stretch>
      </xdr:blipFill>
      <xdr:spPr>
        <a:xfrm>
          <a:off x="0" y="0"/>
          <a:ext cx="914400" cy="55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33020</xdr:colOff>
      <xdr:row>4</xdr:row>
      <xdr:rowOff>143510</xdr:rowOff>
    </xdr:to>
    <xdr:pic>
      <xdr:nvPicPr>
        <xdr:cNvPr id="206" name="ID_46F3CE3210A341F1B20C5DFADB31E823" descr="upload_post_object_v2_3703439677"/>
        <xdr:cNvPicPr/>
      </xdr:nvPicPr>
      <xdr:blipFill>
        <a:blip r:embed="rId532"/>
        <a:stretch>
          <a:fillRect/>
        </a:stretch>
      </xdr:blipFill>
      <xdr:spPr>
        <a:xfrm>
          <a:off x="0" y="0"/>
          <a:ext cx="1568450" cy="996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59690</xdr:colOff>
      <xdr:row>5</xdr:row>
      <xdr:rowOff>177800</xdr:rowOff>
    </xdr:to>
    <xdr:pic>
      <xdr:nvPicPr>
        <xdr:cNvPr id="208" name="ID_E045B880D5B04159B5B18C727BD3F98B" descr="upload_post_object_v2_1490599299"/>
        <xdr:cNvPicPr/>
      </xdr:nvPicPr>
      <xdr:blipFill>
        <a:blip r:embed="rId533"/>
        <a:stretch>
          <a:fillRect/>
        </a:stretch>
      </xdr:blipFill>
      <xdr:spPr>
        <a:xfrm>
          <a:off x="0" y="0"/>
          <a:ext cx="3130550" cy="1244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457835</xdr:colOff>
      <xdr:row>3</xdr:row>
      <xdr:rowOff>128270</xdr:rowOff>
    </xdr:to>
    <xdr:pic>
      <xdr:nvPicPr>
        <xdr:cNvPr id="209" name="ID_B6F0C8D3110B4BD6A2DA0AE20C5A2DEE" descr="upload_post_object_v2_397864365"/>
        <xdr:cNvPicPr/>
      </xdr:nvPicPr>
      <xdr:blipFill>
        <a:blip r:embed="rId534"/>
        <a:stretch>
          <a:fillRect/>
        </a:stretch>
      </xdr:blipFill>
      <xdr:spPr>
        <a:xfrm>
          <a:off x="0" y="0"/>
          <a:ext cx="1225550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122555</xdr:colOff>
      <xdr:row>7</xdr:row>
      <xdr:rowOff>49530</xdr:rowOff>
    </xdr:to>
    <xdr:pic>
      <xdr:nvPicPr>
        <xdr:cNvPr id="210" name="ID_3AC4369405C2454CA04AD7508AB77E90" descr="upload_post_object_v2_1557016131"/>
        <xdr:cNvPicPr/>
      </xdr:nvPicPr>
      <xdr:blipFill>
        <a:blip r:embed="rId535"/>
        <a:stretch>
          <a:fillRect/>
        </a:stretch>
      </xdr:blipFill>
      <xdr:spPr>
        <a:xfrm>
          <a:off x="0" y="0"/>
          <a:ext cx="2425700" cy="1543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528320</xdr:colOff>
      <xdr:row>6</xdr:row>
      <xdr:rowOff>135890</xdr:rowOff>
    </xdr:to>
    <xdr:pic>
      <xdr:nvPicPr>
        <xdr:cNvPr id="211" name="ID_E7D4054C25CA43B39BDA84889E6F2B20" descr="upload_post_object_v2_3690522874"/>
        <xdr:cNvPicPr/>
      </xdr:nvPicPr>
      <xdr:blipFill>
        <a:blip r:embed="rId536"/>
        <a:stretch>
          <a:fillRect/>
        </a:stretch>
      </xdr:blipFill>
      <xdr:spPr>
        <a:xfrm>
          <a:off x="0" y="0"/>
          <a:ext cx="2063750" cy="1416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375920</xdr:colOff>
      <xdr:row>6</xdr:row>
      <xdr:rowOff>135890</xdr:rowOff>
    </xdr:to>
    <xdr:pic>
      <xdr:nvPicPr>
        <xdr:cNvPr id="213" name="ID_FC8042D2BFF0425C82D3FE6ACEE78150" descr="upload_post_object_v2_214959187"/>
        <xdr:cNvPicPr/>
      </xdr:nvPicPr>
      <xdr:blipFill>
        <a:blip r:embed="rId537"/>
        <a:stretch>
          <a:fillRect/>
        </a:stretch>
      </xdr:blipFill>
      <xdr:spPr>
        <a:xfrm>
          <a:off x="0" y="0"/>
          <a:ext cx="1911350" cy="1416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280670</xdr:colOff>
      <xdr:row>4</xdr:row>
      <xdr:rowOff>60960</xdr:rowOff>
    </xdr:to>
    <xdr:pic>
      <xdr:nvPicPr>
        <xdr:cNvPr id="216" name="ID_3C099A8782C04DFC8D889B6A58A273D2" descr="upload_post_object_v2_3185578811"/>
        <xdr:cNvPicPr/>
      </xdr:nvPicPr>
      <xdr:blipFill>
        <a:blip r:embed="rId538"/>
        <a:stretch>
          <a:fillRect/>
        </a:stretch>
      </xdr:blipFill>
      <xdr:spPr>
        <a:xfrm>
          <a:off x="0" y="0"/>
          <a:ext cx="181610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295275</xdr:colOff>
      <xdr:row>7</xdr:row>
      <xdr:rowOff>114300</xdr:rowOff>
    </xdr:to>
    <xdr:pic>
      <xdr:nvPicPr>
        <xdr:cNvPr id="217" name="ID_114A0744989B4037B1AA10C9359A0A82" descr="upload_post_object_v2_3455362913"/>
        <xdr:cNvPicPr/>
      </xdr:nvPicPr>
      <xdr:blipFill>
        <a:blip r:embed="rId539"/>
        <a:stretch>
          <a:fillRect/>
        </a:stretch>
      </xdr:blipFill>
      <xdr:spPr>
        <a:xfrm>
          <a:off x="0" y="0"/>
          <a:ext cx="2598420" cy="1607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643890</xdr:colOff>
      <xdr:row>6</xdr:row>
      <xdr:rowOff>99060</xdr:rowOff>
    </xdr:to>
    <xdr:pic>
      <xdr:nvPicPr>
        <xdr:cNvPr id="218" name="ID_15DBB1A017384B3C930A17BED73F8D51" descr="upload_post_object_v2_3100107331"/>
        <xdr:cNvPicPr/>
      </xdr:nvPicPr>
      <xdr:blipFill>
        <a:blip r:embed="rId540"/>
        <a:stretch>
          <a:fillRect/>
        </a:stretch>
      </xdr:blipFill>
      <xdr:spPr>
        <a:xfrm>
          <a:off x="0" y="0"/>
          <a:ext cx="2179320" cy="13792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643890</xdr:colOff>
      <xdr:row>5</xdr:row>
      <xdr:rowOff>198120</xdr:rowOff>
    </xdr:to>
    <xdr:pic>
      <xdr:nvPicPr>
        <xdr:cNvPr id="219" name="ID_DF55DD9DDDE4413AA4CE30FA8C05F1C7" descr="upload_post_object_v2_2558829257"/>
        <xdr:cNvPicPr/>
      </xdr:nvPicPr>
      <xdr:blipFill>
        <a:blip r:embed="rId541"/>
        <a:stretch>
          <a:fillRect/>
        </a:stretch>
      </xdr:blipFill>
      <xdr:spPr>
        <a:xfrm>
          <a:off x="0" y="0"/>
          <a:ext cx="2179320" cy="12649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102870</xdr:colOff>
      <xdr:row>5</xdr:row>
      <xdr:rowOff>144780</xdr:rowOff>
    </xdr:to>
    <xdr:pic>
      <xdr:nvPicPr>
        <xdr:cNvPr id="220" name="ID_62E5ABC7FE864E6092A15CFEF79C6EE4" descr="upload_post_object_v2_2688040604"/>
        <xdr:cNvPicPr/>
      </xdr:nvPicPr>
      <xdr:blipFill>
        <a:blip r:embed="rId542"/>
        <a:stretch>
          <a:fillRect/>
        </a:stretch>
      </xdr:blipFill>
      <xdr:spPr>
        <a:xfrm>
          <a:off x="0" y="0"/>
          <a:ext cx="1638300" cy="1211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603885</xdr:colOff>
      <xdr:row>5</xdr:row>
      <xdr:rowOff>76200</xdr:rowOff>
    </xdr:to>
    <xdr:pic>
      <xdr:nvPicPr>
        <xdr:cNvPr id="221" name="ID_F1D9D961F951486CB291FFD4FB694EA6" descr="upload_post_object_v2_243557370"/>
        <xdr:cNvPicPr/>
      </xdr:nvPicPr>
      <xdr:blipFill>
        <a:blip r:embed="rId543"/>
        <a:stretch>
          <a:fillRect/>
        </a:stretch>
      </xdr:blipFill>
      <xdr:spPr>
        <a:xfrm>
          <a:off x="0" y="0"/>
          <a:ext cx="1371600" cy="1143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464820</xdr:colOff>
      <xdr:row>15</xdr:row>
      <xdr:rowOff>76200</xdr:rowOff>
    </xdr:to>
    <xdr:pic>
      <xdr:nvPicPr>
        <xdr:cNvPr id="233" name="ID_A185434BDB9A4AA9B5E038F5CC9C8484" descr="upload_post_object_v2_2150186804"/>
        <xdr:cNvPicPr/>
      </xdr:nvPicPr>
      <xdr:blipFill>
        <a:blip r:embed="rId544"/>
        <a:stretch>
          <a:fillRect/>
        </a:stretch>
      </xdr:blipFill>
      <xdr:spPr>
        <a:xfrm>
          <a:off x="0" y="0"/>
          <a:ext cx="6606540" cy="3276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232410</xdr:colOff>
      <xdr:row>18</xdr:row>
      <xdr:rowOff>129540</xdr:rowOff>
    </xdr:to>
    <xdr:pic>
      <xdr:nvPicPr>
        <xdr:cNvPr id="238" name="ID_11F304F0D7D24641BAEF2EB4ED6DC0E6" descr="upload_post_object_v2_3546819056"/>
        <xdr:cNvPicPr/>
      </xdr:nvPicPr>
      <xdr:blipFill>
        <a:blip r:embed="rId545"/>
        <a:stretch>
          <a:fillRect/>
        </a:stretch>
      </xdr:blipFill>
      <xdr:spPr>
        <a:xfrm>
          <a:off x="0" y="0"/>
          <a:ext cx="4838700" cy="3970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49530</xdr:colOff>
      <xdr:row>19</xdr:row>
      <xdr:rowOff>99060</xdr:rowOff>
    </xdr:to>
    <xdr:pic>
      <xdr:nvPicPr>
        <xdr:cNvPr id="242" name="ID_EF0D49D43EE64DEA955A287650B7DD66" descr="upload_post_object_v2_1620763872"/>
        <xdr:cNvPicPr/>
      </xdr:nvPicPr>
      <xdr:blipFill>
        <a:blip r:embed="rId546"/>
        <a:stretch>
          <a:fillRect/>
        </a:stretch>
      </xdr:blipFill>
      <xdr:spPr>
        <a:xfrm>
          <a:off x="0" y="0"/>
          <a:ext cx="4655820" cy="4152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388620</xdr:colOff>
      <xdr:row>19</xdr:row>
      <xdr:rowOff>30480</xdr:rowOff>
    </xdr:to>
    <xdr:pic>
      <xdr:nvPicPr>
        <xdr:cNvPr id="253" name="ID_2102024B2EE043878FB86CC6E1DED496" descr="upload_post_object_v2_4149502859"/>
        <xdr:cNvPicPr/>
      </xdr:nvPicPr>
      <xdr:blipFill>
        <a:blip r:embed="rId547"/>
        <a:stretch>
          <a:fillRect/>
        </a:stretch>
      </xdr:blipFill>
      <xdr:spPr>
        <a:xfrm>
          <a:off x="0" y="0"/>
          <a:ext cx="6530340" cy="40843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215265</xdr:colOff>
      <xdr:row>10</xdr:row>
      <xdr:rowOff>53340</xdr:rowOff>
    </xdr:to>
    <xdr:pic>
      <xdr:nvPicPr>
        <xdr:cNvPr id="228" name="ID_DC33EDA844CD448FB447390AA0E5AD85" descr="upload_post_object_v2_848583740"/>
        <xdr:cNvPicPr/>
      </xdr:nvPicPr>
      <xdr:blipFill>
        <a:blip r:embed="rId548"/>
        <a:stretch>
          <a:fillRect/>
        </a:stretch>
      </xdr:blipFill>
      <xdr:spPr>
        <a:xfrm>
          <a:off x="0" y="0"/>
          <a:ext cx="4053840" cy="21869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230505</xdr:colOff>
      <xdr:row>10</xdr:row>
      <xdr:rowOff>83820</xdr:rowOff>
    </xdr:to>
    <xdr:pic>
      <xdr:nvPicPr>
        <xdr:cNvPr id="229" name="ID_CE98EAB9360C465F92B3136EF27682AD" descr="upload_post_object_v2_1679491804"/>
        <xdr:cNvPicPr/>
      </xdr:nvPicPr>
      <xdr:blipFill>
        <a:blip r:embed="rId549"/>
        <a:stretch>
          <a:fillRect/>
        </a:stretch>
      </xdr:blipFill>
      <xdr:spPr>
        <a:xfrm>
          <a:off x="0" y="0"/>
          <a:ext cx="4069080" cy="22174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200025</xdr:colOff>
      <xdr:row>10</xdr:row>
      <xdr:rowOff>15240</xdr:rowOff>
    </xdr:to>
    <xdr:pic>
      <xdr:nvPicPr>
        <xdr:cNvPr id="231" name="ID_F26A2BEDE50649E685E40A3A9D316896" descr="upload_post_object_v2_3082180428"/>
        <xdr:cNvPicPr/>
      </xdr:nvPicPr>
      <xdr:blipFill>
        <a:blip r:embed="rId550"/>
        <a:stretch>
          <a:fillRect/>
        </a:stretch>
      </xdr:blipFill>
      <xdr:spPr>
        <a:xfrm>
          <a:off x="0" y="0"/>
          <a:ext cx="4038600" cy="2148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607695</xdr:colOff>
      <xdr:row>10</xdr:row>
      <xdr:rowOff>45720</xdr:rowOff>
    </xdr:to>
    <xdr:pic>
      <xdr:nvPicPr>
        <xdr:cNvPr id="237" name="ID_A00522E527E24094B387CDF94C476575" descr="upload_post_object_v2_3774149876"/>
        <xdr:cNvPicPr/>
      </xdr:nvPicPr>
      <xdr:blipFill>
        <a:blip r:embed="rId551"/>
        <a:stretch>
          <a:fillRect/>
        </a:stretch>
      </xdr:blipFill>
      <xdr:spPr>
        <a:xfrm>
          <a:off x="0" y="0"/>
          <a:ext cx="2910840" cy="21793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327660</xdr:colOff>
      <xdr:row>8</xdr:row>
      <xdr:rowOff>205740</xdr:rowOff>
    </xdr:to>
    <xdr:pic>
      <xdr:nvPicPr>
        <xdr:cNvPr id="261" name="ID_7D81BDB866AF423A9301535A6759746A" descr="upload_post_object_v2_26444124"/>
        <xdr:cNvPicPr/>
      </xdr:nvPicPr>
      <xdr:blipFill>
        <a:blip r:embed="rId552"/>
        <a:stretch>
          <a:fillRect/>
        </a:stretch>
      </xdr:blipFill>
      <xdr:spPr>
        <a:xfrm>
          <a:off x="0" y="0"/>
          <a:ext cx="3398520" cy="19126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131445</xdr:colOff>
      <xdr:row>10</xdr:row>
      <xdr:rowOff>38100</xdr:rowOff>
    </xdr:to>
    <xdr:pic>
      <xdr:nvPicPr>
        <xdr:cNvPr id="262" name="ID_58399E90BCF6468A82D70C1D841879C1" descr="upload_post_object_v2_3942724902"/>
        <xdr:cNvPicPr/>
      </xdr:nvPicPr>
      <xdr:blipFill>
        <a:blip r:embed="rId553"/>
        <a:stretch>
          <a:fillRect/>
        </a:stretch>
      </xdr:blipFill>
      <xdr:spPr>
        <a:xfrm>
          <a:off x="0" y="0"/>
          <a:ext cx="3970020" cy="2171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://www.ichemistry.cn/chemistry/16009-13-5.htm" TargetMode="External"/><Relationship Id="rId8" Type="http://schemas.openxmlformats.org/officeDocument/2006/relationships/hyperlink" Target="https://www.chemsrc.com/baike/121147.html" TargetMode="External"/><Relationship Id="rId7" Type="http://schemas.openxmlformats.org/officeDocument/2006/relationships/hyperlink" Target="https://www.aladdin-e.com/zh_cn/catalogsearch/result/?q=7553-56-2" TargetMode="External"/><Relationship Id="rId6" Type="http://schemas.openxmlformats.org/officeDocument/2006/relationships/hyperlink" Target="https://www.aladdin-e.com/zh_cn/catalogsearch/result/?q=7440-66-6(powder)" TargetMode="External"/><Relationship Id="rId5" Type="http://schemas.openxmlformats.org/officeDocument/2006/relationships/hyperlink" Target="https://www.aladdin-e.com/zh_cn/catalogsearch/result/?q=1309-37-1" TargetMode="External"/><Relationship Id="rId4" Type="http://schemas.openxmlformats.org/officeDocument/2006/relationships/hyperlink" Target="https://www.aladdin-e.com/zh_cn/catalogsearch/result/?q=1313-82-2" TargetMode="External"/><Relationship Id="rId3" Type="http://schemas.openxmlformats.org/officeDocument/2006/relationships/hyperlink" Target="https://www.aladdin-e.com/zh_cn/catalogsearch/result/?q=7778-18-9" TargetMode="External"/><Relationship Id="rId2" Type="http://schemas.openxmlformats.org/officeDocument/2006/relationships/hyperlink" Target="https://www.aladdin-e.com/zh_cn/catalogsearch/result/?q=15244-10-7" TargetMode="External"/><Relationship Id="rId10" Type="http://schemas.openxmlformats.org/officeDocument/2006/relationships/hyperlink" Target="http://www.ichemistry.cn/chemistry/121-33-5.htm" TargetMode="External"/><Relationship Id="rId1" Type="http://schemas.openxmlformats.org/officeDocument/2006/relationships/hyperlink" Target="https://www.aladdin-e.com/zh_cn/catalogsearch/result/?q=7487-88-9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filterMode="1"/>
  <dimension ref="A1:M923"/>
  <sheetViews>
    <sheetView tabSelected="1" zoomScale="102" zoomScaleNormal="102" workbookViewId="0">
      <selection activeCell="K9" sqref="K9"/>
    </sheetView>
  </sheetViews>
  <sheetFormatPr defaultColWidth="8.72794117647059" defaultRowHeight="30" customHeight="1"/>
  <cols>
    <col min="1" max="1" width="5.30882352941176" style="2" customWidth="1"/>
    <col min="2" max="2" width="14.7720588235294" style="2" customWidth="1"/>
    <col min="3" max="3" width="9.22794117647059" style="2" customWidth="1"/>
    <col min="4" max="4" width="13.7720588235294" style="2" customWidth="1"/>
    <col min="5" max="5" width="6.72058823529412" style="2" customWidth="1"/>
    <col min="6" max="6" width="6.15441176470588" style="2" customWidth="1"/>
    <col min="7" max="7" width="8" style="2" customWidth="1"/>
    <col min="8" max="8" width="10.7720588235294" style="2" customWidth="1"/>
    <col min="9" max="9" width="10.6911764705882" style="2" customWidth="1"/>
    <col min="10" max="10" width="24.6176470588235" style="2" customWidth="1"/>
    <col min="11" max="11" width="19" style="2" customWidth="1"/>
    <col min="12" max="16382" width="8.72794117647059" style="2"/>
    <col min="16383" max="16384" width="8.72794117647059" style="3"/>
  </cols>
  <sheetData>
    <row r="1" s="1" customFormat="1" ht="45" customHeight="1" spans="1:11">
      <c r="A1" s="4">
        <v>1</v>
      </c>
      <c r="B1" s="4" t="s">
        <v>0</v>
      </c>
      <c r="C1" s="4" t="s">
        <v>1</v>
      </c>
      <c r="D1" s="4" t="s">
        <v>2</v>
      </c>
      <c r="E1" s="4" t="s">
        <v>3</v>
      </c>
      <c r="F1" s="4" t="s">
        <v>4</v>
      </c>
      <c r="G1" s="4" t="s">
        <v>5</v>
      </c>
      <c r="H1" s="19" t="s">
        <v>6</v>
      </c>
      <c r="I1" s="4" t="s">
        <v>7</v>
      </c>
      <c r="J1" s="25" t="s">
        <v>8</v>
      </c>
      <c r="K1" s="1" t="s">
        <v>9</v>
      </c>
    </row>
    <row r="2" hidden="1" customHeight="1" spans="1:10">
      <c r="A2" s="2">
        <v>152</v>
      </c>
      <c r="B2" s="5" t="s">
        <v>10</v>
      </c>
      <c r="C2" s="5" t="s">
        <v>11</v>
      </c>
      <c r="D2" s="2" t="str">
        <f>_xlfn.DISPIMG("ID_528DFC40C3844DDF87AF7E0C64795596",1)</f>
        <v>=DISPIMG("ID_528DFC40C3844DDF87AF7E0C64795596",1)</v>
      </c>
      <c r="F2" s="5" t="s">
        <v>12</v>
      </c>
      <c r="G2" s="2">
        <v>1</v>
      </c>
      <c r="H2" s="5" t="s">
        <v>13</v>
      </c>
      <c r="I2" s="5" t="s">
        <v>14</v>
      </c>
      <c r="J2" s="5" t="s">
        <v>15</v>
      </c>
    </row>
    <row r="3" hidden="1" customHeight="1" spans="1:10">
      <c r="A3" s="2">
        <v>341</v>
      </c>
      <c r="B3" s="5" t="s">
        <v>16</v>
      </c>
      <c r="C3" s="5">
        <v>21459</v>
      </c>
      <c r="D3" s="5" t="s">
        <v>17</v>
      </c>
      <c r="E3" s="20">
        <v>0.99</v>
      </c>
      <c r="F3" s="5" t="s">
        <v>18</v>
      </c>
      <c r="G3" s="2">
        <v>1</v>
      </c>
      <c r="H3" s="11" t="s">
        <v>13</v>
      </c>
      <c r="I3" s="5" t="s">
        <v>19</v>
      </c>
      <c r="J3" s="5" t="s">
        <v>20</v>
      </c>
    </row>
    <row r="4" hidden="1" customHeight="1" spans="1:10">
      <c r="A4" s="2">
        <v>422</v>
      </c>
      <c r="B4" s="6" t="s">
        <v>21</v>
      </c>
      <c r="C4" s="6" t="s">
        <v>22</v>
      </c>
      <c r="D4" s="7" t="str">
        <f>_xlfn.DISPIMG("ID_39FA49E900AE43C3A3B7E3C78BE02D84",1)</f>
        <v>=DISPIMG("ID_39FA49E900AE43C3A3B7E3C78BE02D84",1)</v>
      </c>
      <c r="E4" s="21">
        <v>0.98</v>
      </c>
      <c r="F4" s="6" t="s">
        <v>23</v>
      </c>
      <c r="G4" s="7">
        <v>1</v>
      </c>
      <c r="H4" s="11" t="s">
        <v>13</v>
      </c>
      <c r="I4" s="11" t="s">
        <v>14</v>
      </c>
      <c r="J4" s="11" t="s">
        <v>24</v>
      </c>
    </row>
    <row r="5" hidden="1" customHeight="1" spans="1:10">
      <c r="A5" s="2">
        <v>423</v>
      </c>
      <c r="B5" s="7" t="s">
        <v>25</v>
      </c>
      <c r="C5" s="7" t="s">
        <v>26</v>
      </c>
      <c r="D5" s="7" t="str">
        <f>_xlfn.DISPIMG("ID_C0DB966C52D14D35AB421E1B9730BA8B",1)</f>
        <v>=DISPIMG("ID_C0DB966C52D14D35AB421E1B9730BA8B",1)</v>
      </c>
      <c r="E5" s="22">
        <v>0.97</v>
      </c>
      <c r="F5" s="7" t="s">
        <v>27</v>
      </c>
      <c r="G5" s="7">
        <v>1</v>
      </c>
      <c r="H5" s="11" t="s">
        <v>13</v>
      </c>
      <c r="I5" s="11" t="s">
        <v>14</v>
      </c>
      <c r="J5" s="11" t="s">
        <v>24</v>
      </c>
    </row>
    <row r="6" hidden="1" customHeight="1" spans="1:10">
      <c r="A6" s="2">
        <v>424</v>
      </c>
      <c r="B6" s="7" t="s">
        <v>28</v>
      </c>
      <c r="C6" s="7" t="s">
        <v>29</v>
      </c>
      <c r="D6" s="7" t="str">
        <f>_xlfn.DISPIMG("ID_122E17DF7D06464A8FB70F3B964ED7BD",1)</f>
        <v>=DISPIMG("ID_122E17DF7D06464A8FB70F3B964ED7BD",1)</v>
      </c>
      <c r="E6" s="22">
        <v>0.95</v>
      </c>
      <c r="F6" s="7" t="s">
        <v>23</v>
      </c>
      <c r="G6" s="7">
        <v>1</v>
      </c>
      <c r="H6" s="11" t="s">
        <v>13</v>
      </c>
      <c r="I6" s="11" t="s">
        <v>14</v>
      </c>
      <c r="J6" s="11" t="s">
        <v>24</v>
      </c>
    </row>
    <row r="7" hidden="1" customHeight="1" spans="1:10">
      <c r="A7" s="2">
        <v>425</v>
      </c>
      <c r="B7" s="7" t="s">
        <v>30</v>
      </c>
      <c r="C7" s="7" t="s">
        <v>31</v>
      </c>
      <c r="D7" s="7" t="str">
        <f>_xlfn.DISPIMG("ID_42D5DF370CCC42198A2141C645FD2CFF",1)</f>
        <v>=DISPIMG("ID_42D5DF370CCC42198A2141C645FD2CFF",1)</v>
      </c>
      <c r="E7" s="22">
        <v>0.95</v>
      </c>
      <c r="F7" s="7" t="s">
        <v>27</v>
      </c>
      <c r="G7" s="7">
        <v>1</v>
      </c>
      <c r="H7" s="11" t="s">
        <v>13</v>
      </c>
      <c r="I7" s="11" t="s">
        <v>14</v>
      </c>
      <c r="J7" s="11" t="s">
        <v>24</v>
      </c>
    </row>
    <row r="8" hidden="1" customHeight="1" spans="1:10">
      <c r="A8" s="2">
        <v>426</v>
      </c>
      <c r="B8" s="7" t="s">
        <v>32</v>
      </c>
      <c r="C8" s="7" t="s">
        <v>33</v>
      </c>
      <c r="D8" s="7" t="str">
        <f>_xlfn.DISPIMG("ID_BEF8C417B74B476B820DF9A0A7E57A2D",1)</f>
        <v>=DISPIMG("ID_BEF8C417B74B476B820DF9A0A7E57A2D",1)</v>
      </c>
      <c r="E8" s="22">
        <v>0.95</v>
      </c>
      <c r="F8" s="7" t="s">
        <v>27</v>
      </c>
      <c r="G8" s="7">
        <v>1</v>
      </c>
      <c r="H8" s="11" t="s">
        <v>13</v>
      </c>
      <c r="I8" s="11" t="s">
        <v>14</v>
      </c>
      <c r="J8" s="11" t="s">
        <v>24</v>
      </c>
    </row>
    <row r="9" hidden="1" customHeight="1" spans="1:10">
      <c r="A9" s="2">
        <v>427</v>
      </c>
      <c r="B9" s="7" t="s">
        <v>34</v>
      </c>
      <c r="C9" s="7" t="s">
        <v>35</v>
      </c>
      <c r="D9" s="7" t="str">
        <f>_xlfn.DISPIMG("ID_BBBC8B4164864CC184E46BE95D2B61AD",1)</f>
        <v>=DISPIMG("ID_BBBC8B4164864CC184E46BE95D2B61AD",1)</v>
      </c>
      <c r="E9" s="22">
        <v>0.99</v>
      </c>
      <c r="F9" s="7" t="s">
        <v>23</v>
      </c>
      <c r="G9" s="7">
        <v>1</v>
      </c>
      <c r="H9" s="11" t="s">
        <v>13</v>
      </c>
      <c r="I9" s="11" t="s">
        <v>14</v>
      </c>
      <c r="J9" s="11" t="s">
        <v>24</v>
      </c>
    </row>
    <row r="10" hidden="1" customHeight="1" spans="1:10">
      <c r="A10" s="2">
        <v>428</v>
      </c>
      <c r="B10" s="7" t="s">
        <v>36</v>
      </c>
      <c r="C10" s="7" t="s">
        <v>37</v>
      </c>
      <c r="D10" s="7" t="str">
        <f>_xlfn.DISPIMG("ID_FB5974AD758F49E68E949DA18E208B8D",1)</f>
        <v>=DISPIMG("ID_FB5974AD758F49E68E949DA18E208B8D",1)</v>
      </c>
      <c r="E10" s="22">
        <v>0.97</v>
      </c>
      <c r="F10" s="7" t="s">
        <v>23</v>
      </c>
      <c r="G10" s="7">
        <v>1</v>
      </c>
      <c r="H10" s="11" t="s">
        <v>13</v>
      </c>
      <c r="I10" s="11" t="s">
        <v>14</v>
      </c>
      <c r="J10" s="11" t="s">
        <v>24</v>
      </c>
    </row>
    <row r="11" hidden="1" customHeight="1" spans="1:10">
      <c r="A11" s="2">
        <v>432</v>
      </c>
      <c r="B11" s="8" t="s">
        <v>38</v>
      </c>
      <c r="C11" s="7" t="s">
        <v>39</v>
      </c>
      <c r="D11" s="7" t="str">
        <f>_xlfn.DISPIMG("ID_2961C7413625418AA5D97AA62CC8905A",1)</f>
        <v>=DISPIMG("ID_2961C7413625418AA5D97AA62CC8905A",1)</v>
      </c>
      <c r="E11" s="23">
        <v>0.995</v>
      </c>
      <c r="F11" s="7" t="s">
        <v>40</v>
      </c>
      <c r="G11" s="7">
        <v>1</v>
      </c>
      <c r="H11" s="11" t="s">
        <v>13</v>
      </c>
      <c r="I11" s="11" t="s">
        <v>14</v>
      </c>
      <c r="J11" s="11" t="s">
        <v>41</v>
      </c>
    </row>
    <row r="12" hidden="1" customHeight="1" spans="1:10">
      <c r="A12" s="2">
        <v>433</v>
      </c>
      <c r="B12" s="7" t="s">
        <v>42</v>
      </c>
      <c r="C12" s="7" t="s">
        <v>43</v>
      </c>
      <c r="D12" s="7" t="str">
        <f>_xlfn.DISPIMG("ID_0A1C5535F2DF40FC8D2BF4CF1FB91355",1)</f>
        <v>=DISPIMG("ID_0A1C5535F2DF40FC8D2BF4CF1FB91355",1)</v>
      </c>
      <c r="E12" s="22">
        <v>0.98</v>
      </c>
      <c r="F12" s="7" t="s">
        <v>44</v>
      </c>
      <c r="G12" s="7">
        <v>1</v>
      </c>
      <c r="H12" s="11" t="s">
        <v>13</v>
      </c>
      <c r="I12" s="11" t="s">
        <v>14</v>
      </c>
      <c r="J12" s="11" t="s">
        <v>41</v>
      </c>
    </row>
    <row r="13" hidden="1" customHeight="1" spans="1:10">
      <c r="A13" s="2">
        <v>434</v>
      </c>
      <c r="B13" s="7" t="s">
        <v>42</v>
      </c>
      <c r="C13" s="7" t="s">
        <v>43</v>
      </c>
      <c r="D13" s="7" t="str">
        <f>_xlfn.DISPIMG("ID_0A9A260D257243FD8D7EA1B313BD8836",1)</f>
        <v>=DISPIMG("ID_0A9A260D257243FD8D7EA1B313BD8836",1)</v>
      </c>
      <c r="E13" s="22">
        <v>0.98</v>
      </c>
      <c r="F13" s="7" t="s">
        <v>45</v>
      </c>
      <c r="G13" s="7">
        <v>1</v>
      </c>
      <c r="H13" s="11" t="s">
        <v>13</v>
      </c>
      <c r="I13" s="11" t="s">
        <v>14</v>
      </c>
      <c r="J13" s="11" t="s">
        <v>41</v>
      </c>
    </row>
    <row r="14" hidden="1" customHeight="1" spans="1:10">
      <c r="A14" s="2">
        <v>435</v>
      </c>
      <c r="B14" s="7" t="s">
        <v>46</v>
      </c>
      <c r="C14" s="9">
        <v>1304222</v>
      </c>
      <c r="D14" s="7" t="s">
        <v>47</v>
      </c>
      <c r="E14" s="23">
        <v>0.985</v>
      </c>
      <c r="F14" s="7" t="s">
        <v>45</v>
      </c>
      <c r="G14" s="7">
        <v>1</v>
      </c>
      <c r="H14" s="11" t="s">
        <v>13</v>
      </c>
      <c r="I14" s="11" t="s">
        <v>14</v>
      </c>
      <c r="J14" s="11" t="s">
        <v>41</v>
      </c>
    </row>
    <row r="15" hidden="1" customHeight="1" spans="1:10">
      <c r="A15" s="2">
        <v>438</v>
      </c>
      <c r="B15" s="5" t="s">
        <v>48</v>
      </c>
      <c r="C15" s="5" t="s">
        <v>49</v>
      </c>
      <c r="D15" s="2" t="str">
        <f>_xlfn.DISPIMG("ID_E1953C7252B14047BF81AF3A8D3692D2",1)</f>
        <v>=DISPIMG("ID_E1953C7252B14047BF81AF3A8D3692D2",1)</v>
      </c>
      <c r="E15" s="20">
        <v>0.99</v>
      </c>
      <c r="F15" s="5" t="s">
        <v>50</v>
      </c>
      <c r="G15" s="2">
        <v>1</v>
      </c>
      <c r="H15" s="5" t="s">
        <v>13</v>
      </c>
      <c r="I15" s="5" t="s">
        <v>14</v>
      </c>
      <c r="J15" s="5" t="s">
        <v>51</v>
      </c>
    </row>
    <row r="16" hidden="1" customHeight="1" spans="1:10">
      <c r="A16" s="2">
        <v>439</v>
      </c>
      <c r="B16" s="7" t="s">
        <v>52</v>
      </c>
      <c r="C16" s="7" t="s">
        <v>53</v>
      </c>
      <c r="D16" s="7" t="str">
        <f>_xlfn.DISPIMG("ID_A255B9FD1F5E4D5DBC5DD8E556B52EDE",1)</f>
        <v>=DISPIMG("ID_A255B9FD1F5E4D5DBC5DD8E556B52EDE",1)</v>
      </c>
      <c r="E16" s="22"/>
      <c r="F16" s="7"/>
      <c r="G16" s="7">
        <v>1</v>
      </c>
      <c r="H16" s="11" t="s">
        <v>13</v>
      </c>
      <c r="I16" s="11" t="s">
        <v>14</v>
      </c>
      <c r="J16" s="5" t="s">
        <v>51</v>
      </c>
    </row>
    <row r="17" hidden="1" customHeight="1" spans="1:10">
      <c r="A17" s="2">
        <v>440</v>
      </c>
      <c r="B17" s="7" t="s">
        <v>54</v>
      </c>
      <c r="C17" s="10" t="s">
        <v>55</v>
      </c>
      <c r="D17" s="11" t="str">
        <f>_xlfn.DISPIMG("ID_CA9873447C7A44CE8716EFADCBD39F86",1)</f>
        <v>=DISPIMG("ID_CA9873447C7A44CE8716EFADCBD39F86",1)</v>
      </c>
      <c r="E17" s="7" t="s">
        <v>56</v>
      </c>
      <c r="F17" s="7" t="s">
        <v>57</v>
      </c>
      <c r="G17" s="7">
        <v>1</v>
      </c>
      <c r="H17" s="11" t="s">
        <v>13</v>
      </c>
      <c r="I17" s="11" t="s">
        <v>14</v>
      </c>
      <c r="J17" s="5" t="s">
        <v>58</v>
      </c>
    </row>
    <row r="18" hidden="1" customHeight="1" spans="1:10">
      <c r="A18" s="2">
        <v>441</v>
      </c>
      <c r="B18" s="7" t="s">
        <v>59</v>
      </c>
      <c r="C18" s="7" t="s">
        <v>60</v>
      </c>
      <c r="D18" s="7" t="str">
        <f>_xlfn.DISPIMG("ID_A375F8D7C97849D3A1130EC6F870B269",1)</f>
        <v>=DISPIMG("ID_A375F8D7C97849D3A1130EC6F870B269",1)</v>
      </c>
      <c r="E18" s="22">
        <v>0.99</v>
      </c>
      <c r="F18" s="7" t="s">
        <v>50</v>
      </c>
      <c r="G18" s="7">
        <v>1</v>
      </c>
      <c r="H18" s="11" t="s">
        <v>13</v>
      </c>
      <c r="I18" s="11" t="s">
        <v>14</v>
      </c>
      <c r="J18" s="5" t="s">
        <v>58</v>
      </c>
    </row>
    <row r="19" hidden="1" customHeight="1" spans="1:10">
      <c r="A19" s="2">
        <v>442</v>
      </c>
      <c r="B19" s="11" t="s">
        <v>61</v>
      </c>
      <c r="C19" s="12">
        <v>29038</v>
      </c>
      <c r="D19" s="7" t="str">
        <f>_xlfn.DISPIMG("ID_00B4CD628DCF411DA00DD977124B7923",1)</f>
        <v>=DISPIMG("ID_00B4CD628DCF411DA00DD977124B7923",1)</v>
      </c>
      <c r="E19" s="22">
        <v>0.98</v>
      </c>
      <c r="F19" s="7" t="s">
        <v>45</v>
      </c>
      <c r="G19" s="7">
        <v>1</v>
      </c>
      <c r="H19" s="11" t="s">
        <v>13</v>
      </c>
      <c r="I19" s="11" t="s">
        <v>14</v>
      </c>
      <c r="J19" s="5" t="s">
        <v>58</v>
      </c>
    </row>
    <row r="20" hidden="1" customHeight="1" spans="1:10">
      <c r="A20" s="2">
        <v>443</v>
      </c>
      <c r="B20" s="7" t="s">
        <v>62</v>
      </c>
      <c r="C20" s="7" t="s">
        <v>63</v>
      </c>
      <c r="D20" s="7" t="str">
        <f>_xlfn.DISPIMG("ID_2C0AA96967D14907A2B8625882BC7C94",1)</f>
        <v>=DISPIMG("ID_2C0AA96967D14907A2B8625882BC7C94",1)</v>
      </c>
      <c r="E20" s="22">
        <v>0.99</v>
      </c>
      <c r="F20" s="7"/>
      <c r="G20" s="7">
        <v>1</v>
      </c>
      <c r="H20" s="11" t="s">
        <v>13</v>
      </c>
      <c r="I20" s="11" t="s">
        <v>14</v>
      </c>
      <c r="J20" s="5" t="s">
        <v>58</v>
      </c>
    </row>
    <row r="21" hidden="1" customHeight="1" spans="1:10">
      <c r="A21" s="2">
        <v>444</v>
      </c>
      <c r="B21" s="7" t="s">
        <v>64</v>
      </c>
      <c r="C21" s="7" t="s">
        <v>65</v>
      </c>
      <c r="D21" s="7" t="str">
        <f>_xlfn.DISPIMG("ID_08B21F40E0194E86A83A83EA2F7EE5CC",1)</f>
        <v>=DISPIMG("ID_08B21F40E0194E86A83A83EA2F7EE5CC",1)</v>
      </c>
      <c r="E21" s="22">
        <v>0.99</v>
      </c>
      <c r="F21" s="7"/>
      <c r="G21" s="7">
        <v>1</v>
      </c>
      <c r="H21" s="11" t="s">
        <v>13</v>
      </c>
      <c r="I21" s="11" t="s">
        <v>14</v>
      </c>
      <c r="J21" s="5" t="s">
        <v>58</v>
      </c>
    </row>
    <row r="22" hidden="1" customHeight="1" spans="1:10">
      <c r="A22" s="2">
        <v>445</v>
      </c>
      <c r="B22" s="7" t="s">
        <v>66</v>
      </c>
      <c r="C22" s="7" t="s">
        <v>67</v>
      </c>
      <c r="D22" s="7" t="str">
        <f>_xlfn.DISPIMG("ID_AC0B8FD639B047AE8373A4E5EBA2AD79",1)</f>
        <v>=DISPIMG("ID_AC0B8FD639B047AE8373A4E5EBA2AD79",1)</v>
      </c>
      <c r="E22" s="7"/>
      <c r="F22" s="7" t="s">
        <v>68</v>
      </c>
      <c r="G22" s="7">
        <v>1</v>
      </c>
      <c r="H22" s="11" t="s">
        <v>13</v>
      </c>
      <c r="I22" s="11" t="s">
        <v>14</v>
      </c>
      <c r="J22" s="5" t="s">
        <v>58</v>
      </c>
    </row>
    <row r="23" hidden="1" customHeight="1" spans="1:10">
      <c r="A23" s="2">
        <v>446</v>
      </c>
      <c r="B23" s="7" t="s">
        <v>69</v>
      </c>
      <c r="C23" s="7" t="s">
        <v>70</v>
      </c>
      <c r="D23" s="7" t="str">
        <f>_xlfn.DISPIMG("ID_6DB9E2DAADA64D278A4132A441975891",1)</f>
        <v>=DISPIMG("ID_6DB9E2DAADA64D278A4132A441975891",1)</v>
      </c>
      <c r="E23" s="22">
        <v>0.98</v>
      </c>
      <c r="F23" s="7" t="s">
        <v>27</v>
      </c>
      <c r="G23" s="7">
        <v>1</v>
      </c>
      <c r="H23" s="11" t="s">
        <v>13</v>
      </c>
      <c r="I23" s="11" t="s">
        <v>14</v>
      </c>
      <c r="J23" s="5" t="s">
        <v>58</v>
      </c>
    </row>
    <row r="24" hidden="1" customHeight="1" spans="1:10">
      <c r="A24" s="2">
        <v>447</v>
      </c>
      <c r="B24" s="7" t="s">
        <v>71</v>
      </c>
      <c r="C24" s="7" t="s">
        <v>72</v>
      </c>
      <c r="D24" s="7" t="str">
        <f>_xlfn.DISPIMG("ID_B73FC96E15ED4AD2BE00058CF815E97C",1)</f>
        <v>=DISPIMG("ID_B73FC96E15ED4AD2BE00058CF815E97C",1)</v>
      </c>
      <c r="E24" s="7"/>
      <c r="F24" s="7"/>
      <c r="G24" s="7">
        <v>1</v>
      </c>
      <c r="H24" s="11" t="s">
        <v>13</v>
      </c>
      <c r="I24" s="11" t="s">
        <v>14</v>
      </c>
      <c r="J24" s="5" t="s">
        <v>58</v>
      </c>
    </row>
    <row r="25" hidden="1" customHeight="1" spans="1:10">
      <c r="A25" s="2">
        <v>448</v>
      </c>
      <c r="B25" s="7" t="s">
        <v>38</v>
      </c>
      <c r="C25" s="7" t="s">
        <v>39</v>
      </c>
      <c r="D25" s="7" t="str">
        <f>_xlfn.DISPIMG("ID_E2A027E6D379439084ED114FD90D7773",1)</f>
        <v>=DISPIMG("ID_E2A027E6D379439084ED114FD90D7773",1)</v>
      </c>
      <c r="E25" s="22">
        <v>0.99</v>
      </c>
      <c r="F25" s="7" t="s">
        <v>40</v>
      </c>
      <c r="G25" s="7">
        <v>1</v>
      </c>
      <c r="H25" s="11" t="s">
        <v>13</v>
      </c>
      <c r="I25" s="11" t="s">
        <v>14</v>
      </c>
      <c r="J25" s="5" t="s">
        <v>58</v>
      </c>
    </row>
    <row r="26" hidden="1" customHeight="1" spans="1:10">
      <c r="A26" s="2">
        <v>449</v>
      </c>
      <c r="B26" s="7" t="s">
        <v>73</v>
      </c>
      <c r="C26" s="7" t="s">
        <v>74</v>
      </c>
      <c r="D26" s="7" t="str">
        <f>_xlfn.DISPIMG("ID_E5255C3E7FF943B3BBD6C8B7C2EC9A51",1)</f>
        <v>=DISPIMG("ID_E5255C3E7FF943B3BBD6C8B7C2EC9A51",1)</v>
      </c>
      <c r="E26" s="22">
        <v>0.98</v>
      </c>
      <c r="F26" s="7" t="s">
        <v>75</v>
      </c>
      <c r="G26" s="7">
        <v>1</v>
      </c>
      <c r="H26" s="11" t="s">
        <v>13</v>
      </c>
      <c r="I26" s="11" t="s">
        <v>14</v>
      </c>
      <c r="J26" s="5" t="s">
        <v>58</v>
      </c>
    </row>
    <row r="27" hidden="1" customHeight="1" spans="1:10">
      <c r="A27" s="2">
        <v>450</v>
      </c>
      <c r="B27" s="7" t="s">
        <v>76</v>
      </c>
      <c r="C27" s="7" t="s">
        <v>77</v>
      </c>
      <c r="D27" s="7" t="str">
        <f>_xlfn.DISPIMG("ID_467164E0E6E24CB895FBECB1C116D9BE",1)</f>
        <v>=DISPIMG("ID_467164E0E6E24CB895FBECB1C116D9BE",1)</v>
      </c>
      <c r="E27" s="22">
        <v>0.96</v>
      </c>
      <c r="F27" s="7" t="s">
        <v>45</v>
      </c>
      <c r="G27" s="7">
        <v>7</v>
      </c>
      <c r="H27" s="11" t="s">
        <v>13</v>
      </c>
      <c r="I27" s="11" t="s">
        <v>14</v>
      </c>
      <c r="J27" s="5" t="s">
        <v>58</v>
      </c>
    </row>
    <row r="28" hidden="1" customHeight="1" spans="1:10">
      <c r="A28" s="2">
        <v>451</v>
      </c>
      <c r="B28" s="7" t="s">
        <v>76</v>
      </c>
      <c r="C28" s="7" t="s">
        <v>78</v>
      </c>
      <c r="D28" s="7" t="str">
        <f>_xlfn.DISPIMG("ID_65C8F78E7F514E4CA8A0FCAC215F7C7B",1)</f>
        <v>=DISPIMG("ID_65C8F78E7F514E4CA8A0FCAC215F7C7B",1)</v>
      </c>
      <c r="E28" s="22">
        <v>0.97</v>
      </c>
      <c r="F28" s="7" t="s">
        <v>45</v>
      </c>
      <c r="G28" s="7">
        <v>1</v>
      </c>
      <c r="H28" s="11" t="s">
        <v>13</v>
      </c>
      <c r="I28" s="11" t="s">
        <v>14</v>
      </c>
      <c r="J28" s="5" t="s">
        <v>58</v>
      </c>
    </row>
    <row r="29" hidden="1" customHeight="1" spans="1:10">
      <c r="A29" s="2">
        <v>452</v>
      </c>
      <c r="B29" s="7" t="s">
        <v>76</v>
      </c>
      <c r="C29" s="7" t="s">
        <v>79</v>
      </c>
      <c r="D29" s="7" t="str">
        <f>_xlfn.DISPIMG("ID_47EA6FA0E5514D51A90BD7DED230056E",1)</f>
        <v>=DISPIMG("ID_47EA6FA0E5514D51A90BD7DED230056E",1)</v>
      </c>
      <c r="E29" s="22">
        <v>0.99</v>
      </c>
      <c r="F29" s="7"/>
      <c r="G29" s="7">
        <v>1</v>
      </c>
      <c r="H29" s="11" t="s">
        <v>13</v>
      </c>
      <c r="I29" s="11" t="s">
        <v>14</v>
      </c>
      <c r="J29" s="5" t="s">
        <v>58</v>
      </c>
    </row>
    <row r="30" hidden="1" customHeight="1" spans="1:10">
      <c r="A30" s="2">
        <v>454</v>
      </c>
      <c r="B30" s="7" t="s">
        <v>80</v>
      </c>
      <c r="C30" s="7" t="s">
        <v>81</v>
      </c>
      <c r="D30" s="7" t="str">
        <f>_xlfn.DISPIMG("ID_D7CD74B4808343C8AF7EE1E6B7CC5313",1)</f>
        <v>=DISPIMG("ID_D7CD74B4808343C8AF7EE1E6B7CC5313",1)</v>
      </c>
      <c r="E30" s="22">
        <v>0.98</v>
      </c>
      <c r="F30" s="7" t="s">
        <v>45</v>
      </c>
      <c r="G30" s="7">
        <v>1</v>
      </c>
      <c r="H30" s="11" t="s">
        <v>13</v>
      </c>
      <c r="I30" s="11" t="s">
        <v>14</v>
      </c>
      <c r="J30" s="5" t="s">
        <v>58</v>
      </c>
    </row>
    <row r="31" hidden="1" customHeight="1" spans="1:10">
      <c r="A31" s="2">
        <v>455</v>
      </c>
      <c r="B31" s="6" t="s">
        <v>82</v>
      </c>
      <c r="C31" s="12">
        <v>1304222</v>
      </c>
      <c r="D31" s="7" t="s">
        <v>83</v>
      </c>
      <c r="E31" s="23">
        <v>0.985</v>
      </c>
      <c r="F31" s="7" t="s">
        <v>45</v>
      </c>
      <c r="G31" s="7">
        <v>1</v>
      </c>
      <c r="H31" s="11" t="s">
        <v>13</v>
      </c>
      <c r="I31" s="11" t="s">
        <v>14</v>
      </c>
      <c r="J31" s="5" t="s">
        <v>58</v>
      </c>
    </row>
    <row r="32" hidden="1" customHeight="1" spans="1:10">
      <c r="A32" s="2">
        <v>456</v>
      </c>
      <c r="B32" s="7" t="s">
        <v>84</v>
      </c>
      <c r="C32" s="7" t="s">
        <v>77</v>
      </c>
      <c r="D32" s="7" t="str">
        <f>_xlfn.DISPIMG("ID_5208DB7191A6441B99785B05704AEBC7",1)</f>
        <v>=DISPIMG("ID_5208DB7191A6441B99785B05704AEBC7",1)</v>
      </c>
      <c r="E32" s="7"/>
      <c r="F32" s="7"/>
      <c r="G32" s="7">
        <v>1</v>
      </c>
      <c r="H32" s="11" t="s">
        <v>13</v>
      </c>
      <c r="I32" s="11" t="s">
        <v>14</v>
      </c>
      <c r="J32" s="5" t="s">
        <v>58</v>
      </c>
    </row>
    <row r="33" hidden="1" customHeight="1" spans="1:10">
      <c r="A33" s="2">
        <v>457</v>
      </c>
      <c r="B33" s="7" t="s">
        <v>85</v>
      </c>
      <c r="C33" s="7" t="s">
        <v>86</v>
      </c>
      <c r="D33" s="7" t="str">
        <f>_xlfn.DISPIMG("ID_E43C6C1CA43642E0861B68C498DE15F8",1)</f>
        <v>=DISPIMG("ID_E43C6C1CA43642E0861B68C498DE15F8",1)</v>
      </c>
      <c r="E33" s="22">
        <v>0.97</v>
      </c>
      <c r="F33" s="7" t="s">
        <v>27</v>
      </c>
      <c r="G33" s="7">
        <v>1</v>
      </c>
      <c r="H33" s="11" t="s">
        <v>13</v>
      </c>
      <c r="I33" s="11" t="s">
        <v>14</v>
      </c>
      <c r="J33" s="5" t="s">
        <v>58</v>
      </c>
    </row>
    <row r="34" hidden="1" customHeight="1" spans="1:10">
      <c r="A34" s="2">
        <v>458</v>
      </c>
      <c r="B34" s="7" t="s">
        <v>87</v>
      </c>
      <c r="C34" s="7" t="s">
        <v>88</v>
      </c>
      <c r="D34" s="7" t="str">
        <f>_xlfn.DISPIMG("ID_E33A656B406B404C8861075F837EFE5F",1)</f>
        <v>=DISPIMG("ID_E33A656B406B404C8861075F837EFE5F",1)</v>
      </c>
      <c r="E34" s="22">
        <v>0.98</v>
      </c>
      <c r="F34" s="7" t="s">
        <v>27</v>
      </c>
      <c r="G34" s="7">
        <v>1</v>
      </c>
      <c r="H34" s="11" t="s">
        <v>13</v>
      </c>
      <c r="I34" s="11" t="s">
        <v>14</v>
      </c>
      <c r="J34" s="5" t="s">
        <v>58</v>
      </c>
    </row>
    <row r="35" hidden="1" customHeight="1" spans="1:10">
      <c r="A35" s="2">
        <v>459</v>
      </c>
      <c r="B35" s="7" t="s">
        <v>89</v>
      </c>
      <c r="C35" s="7" t="s">
        <v>90</v>
      </c>
      <c r="D35" s="7" t="str">
        <f>_xlfn.DISPIMG("ID_F1EB728CD8E34D638CA0B65D16ACEE8D",1)</f>
        <v>=DISPIMG("ID_F1EB728CD8E34D638CA0B65D16ACEE8D",1)</v>
      </c>
      <c r="E35" s="22">
        <v>0.95</v>
      </c>
      <c r="F35" s="7" t="s">
        <v>27</v>
      </c>
      <c r="G35" s="7">
        <v>1</v>
      </c>
      <c r="H35" s="11" t="s">
        <v>13</v>
      </c>
      <c r="I35" s="11" t="s">
        <v>14</v>
      </c>
      <c r="J35" s="5" t="s">
        <v>58</v>
      </c>
    </row>
    <row r="36" hidden="1" customHeight="1" spans="1:10">
      <c r="A36" s="2">
        <v>460</v>
      </c>
      <c r="B36" s="6" t="s">
        <v>91</v>
      </c>
      <c r="C36" s="7" t="s">
        <v>11</v>
      </c>
      <c r="D36" s="7" t="str">
        <f>_xlfn.DISPIMG("ID_B853401B93AD4093B51C8039C6885BF5",1)</f>
        <v>=DISPIMG("ID_B853401B93AD4093B51C8039C6885BF5",1)</v>
      </c>
      <c r="E36" s="22">
        <v>0.95</v>
      </c>
      <c r="F36" s="11" t="s">
        <v>12</v>
      </c>
      <c r="G36" s="7">
        <v>1</v>
      </c>
      <c r="H36" s="11" t="s">
        <v>13</v>
      </c>
      <c r="I36" s="11" t="s">
        <v>14</v>
      </c>
      <c r="J36" s="5" t="s">
        <v>58</v>
      </c>
    </row>
    <row r="37" hidden="1" customHeight="1" spans="1:10">
      <c r="A37" s="2">
        <v>461</v>
      </c>
      <c r="B37" s="7" t="s">
        <v>92</v>
      </c>
      <c r="C37" s="7" t="s">
        <v>93</v>
      </c>
      <c r="D37" s="7" t="str">
        <f>_xlfn.DISPIMG("ID_550AEE72D8704A3D8D0B2179A1F7E772",1)</f>
        <v>=DISPIMG("ID_550AEE72D8704A3D8D0B2179A1F7E772",1)</v>
      </c>
      <c r="E37" s="22">
        <v>0.98</v>
      </c>
      <c r="F37" s="7" t="s">
        <v>94</v>
      </c>
      <c r="G37" s="7">
        <v>1</v>
      </c>
      <c r="H37" s="11" t="s">
        <v>13</v>
      </c>
      <c r="I37" s="11" t="s">
        <v>14</v>
      </c>
      <c r="J37" s="5" t="s">
        <v>58</v>
      </c>
    </row>
    <row r="38" hidden="1" customHeight="1" spans="1:10">
      <c r="A38" s="2">
        <v>462</v>
      </c>
      <c r="B38" s="7" t="s">
        <v>95</v>
      </c>
      <c r="C38" s="7" t="s">
        <v>96</v>
      </c>
      <c r="D38" s="7" t="str">
        <f>_xlfn.DISPIMG("ID_7A2C12BFCF814DE7B2A14682B4DE3C1D",1)</f>
        <v>=DISPIMG("ID_7A2C12BFCF814DE7B2A14682B4DE3C1D",1)</v>
      </c>
      <c r="E38" s="22">
        <v>0.98</v>
      </c>
      <c r="F38" s="7" t="s">
        <v>23</v>
      </c>
      <c r="G38" s="7">
        <v>1</v>
      </c>
      <c r="H38" s="11" t="s">
        <v>13</v>
      </c>
      <c r="I38" s="11" t="s">
        <v>14</v>
      </c>
      <c r="J38" s="5" t="s">
        <v>58</v>
      </c>
    </row>
    <row r="39" hidden="1" customHeight="1" spans="1:10">
      <c r="A39" s="2">
        <v>463</v>
      </c>
      <c r="B39" s="7" t="s">
        <v>97</v>
      </c>
      <c r="C39" s="7" t="s">
        <v>11</v>
      </c>
      <c r="D39" s="7" t="str">
        <f>_xlfn.DISPIMG("ID_1F3C8866072C491B9F0EF55932F01D3C",1)</f>
        <v>=DISPIMG("ID_1F3C8866072C491B9F0EF55932F01D3C",1)</v>
      </c>
      <c r="E39" s="7"/>
      <c r="F39" s="7"/>
      <c r="G39" s="7">
        <v>4</v>
      </c>
      <c r="H39" s="11" t="s">
        <v>13</v>
      </c>
      <c r="I39" s="11" t="s">
        <v>14</v>
      </c>
      <c r="J39" s="5" t="s">
        <v>58</v>
      </c>
    </row>
    <row r="40" hidden="1" customHeight="1" spans="1:10">
      <c r="A40" s="2">
        <v>464</v>
      </c>
      <c r="B40" s="7" t="s">
        <v>98</v>
      </c>
      <c r="C40" s="7" t="s">
        <v>99</v>
      </c>
      <c r="D40" s="7" t="str">
        <f>_xlfn.DISPIMG("ID_950D5BA50AC94A9CBC05CD5F2D21D213",1)</f>
        <v>=DISPIMG("ID_950D5BA50AC94A9CBC05CD5F2D21D213",1)</v>
      </c>
      <c r="E40" s="7"/>
      <c r="F40" s="7"/>
      <c r="G40" s="7">
        <v>1</v>
      </c>
      <c r="H40" s="11" t="s">
        <v>13</v>
      </c>
      <c r="I40" s="11" t="s">
        <v>14</v>
      </c>
      <c r="J40" s="5" t="s">
        <v>58</v>
      </c>
    </row>
    <row r="41" hidden="1" customHeight="1" spans="1:10">
      <c r="A41" s="2">
        <v>465</v>
      </c>
      <c r="B41" s="7" t="s">
        <v>100</v>
      </c>
      <c r="C41" s="7" t="s">
        <v>101</v>
      </c>
      <c r="D41" s="7" t="str">
        <f>_xlfn.DISPIMG("ID_D308384B432C446E95C25F0873D1FA82",1)</f>
        <v>=DISPIMG("ID_D308384B432C446E95C25F0873D1FA82",1)</v>
      </c>
      <c r="E41" s="7"/>
      <c r="F41" s="7" t="s">
        <v>12</v>
      </c>
      <c r="G41" s="7">
        <v>1</v>
      </c>
      <c r="H41" s="11" t="s">
        <v>13</v>
      </c>
      <c r="I41" s="11" t="s">
        <v>14</v>
      </c>
      <c r="J41" s="5" t="s">
        <v>58</v>
      </c>
    </row>
    <row r="42" hidden="1" customHeight="1" spans="1:10">
      <c r="A42" s="2">
        <v>466</v>
      </c>
      <c r="B42" s="7" t="s">
        <v>102</v>
      </c>
      <c r="C42" s="13" t="s">
        <v>103</v>
      </c>
      <c r="D42" s="7" t="str">
        <f>_xlfn.DISPIMG("ID_5FA13EB0119847E0ADC1613A23CA66D0",1)</f>
        <v>=DISPIMG("ID_5FA13EB0119847E0ADC1613A23CA66D0",1)</v>
      </c>
      <c r="E42" s="7"/>
      <c r="F42" s="7" t="s">
        <v>57</v>
      </c>
      <c r="G42" s="7">
        <v>1</v>
      </c>
      <c r="H42" s="11" t="s">
        <v>13</v>
      </c>
      <c r="I42" s="11" t="s">
        <v>14</v>
      </c>
      <c r="J42" s="5" t="s">
        <v>104</v>
      </c>
    </row>
    <row r="43" hidden="1" customHeight="1" spans="1:10">
      <c r="A43" s="2">
        <v>467</v>
      </c>
      <c r="B43" s="7" t="s">
        <v>105</v>
      </c>
      <c r="C43" s="7" t="s">
        <v>106</v>
      </c>
      <c r="D43" s="7" t="str">
        <f>_xlfn.DISPIMG("ID_256D97DA9214464CA995729580925324",1)</f>
        <v>=DISPIMG("ID_256D97DA9214464CA995729580925324",1)</v>
      </c>
      <c r="E43" s="7" t="s">
        <v>107</v>
      </c>
      <c r="F43" s="7" t="s">
        <v>12</v>
      </c>
      <c r="G43" s="7">
        <v>1</v>
      </c>
      <c r="H43" s="11" t="s">
        <v>13</v>
      </c>
      <c r="I43" s="11" t="s">
        <v>14</v>
      </c>
      <c r="J43" s="5" t="s">
        <v>58</v>
      </c>
    </row>
    <row r="44" hidden="1" customHeight="1" spans="1:10">
      <c r="A44" s="2">
        <v>468</v>
      </c>
      <c r="B44" s="7" t="s">
        <v>100</v>
      </c>
      <c r="C44" s="7" t="s">
        <v>108</v>
      </c>
      <c r="D44" s="7" t="str">
        <f>_xlfn.DISPIMG("ID_5A5841AE0ACF4C56BD941176177BEE8B",1)</f>
        <v>=DISPIMG("ID_5A5841AE0ACF4C56BD941176177BEE8B",1)</v>
      </c>
      <c r="E44" s="23">
        <v>0.99</v>
      </c>
      <c r="F44" s="7" t="s">
        <v>12</v>
      </c>
      <c r="G44" s="7">
        <v>1</v>
      </c>
      <c r="H44" s="11" t="s">
        <v>13</v>
      </c>
      <c r="I44" s="11" t="s">
        <v>14</v>
      </c>
      <c r="J44" s="5" t="s">
        <v>58</v>
      </c>
    </row>
    <row r="45" hidden="1" customHeight="1" spans="1:10">
      <c r="A45" s="2">
        <v>469</v>
      </c>
      <c r="B45" s="7" t="s">
        <v>109</v>
      </c>
      <c r="C45" s="14">
        <v>29007</v>
      </c>
      <c r="D45" s="7" t="str">
        <f>_xlfn.DISPIMG("ID_BE5BC7F3AF5F4153BAD8B60F96F33E80",1)</f>
        <v>=DISPIMG("ID_BE5BC7F3AF5F4153BAD8B60F96F33E80",1)</v>
      </c>
      <c r="E45" s="22">
        <v>0.99</v>
      </c>
      <c r="F45" s="7" t="s">
        <v>110</v>
      </c>
      <c r="G45" s="7">
        <v>1</v>
      </c>
      <c r="H45" s="11" t="s">
        <v>13</v>
      </c>
      <c r="I45" s="11" t="s">
        <v>14</v>
      </c>
      <c r="J45" s="5" t="s">
        <v>58</v>
      </c>
    </row>
    <row r="46" hidden="1" customHeight="1" spans="1:10">
      <c r="A46" s="2">
        <v>470</v>
      </c>
      <c r="B46" s="7" t="s">
        <v>111</v>
      </c>
      <c r="C46" s="7" t="s">
        <v>112</v>
      </c>
      <c r="D46" s="7" t="str">
        <f>_xlfn.DISPIMG("ID_957A2CC88C1C41BFA595492365034387",1)</f>
        <v>=DISPIMG("ID_957A2CC88C1C41BFA595492365034387",1)</v>
      </c>
      <c r="E46" s="22">
        <v>0.98</v>
      </c>
      <c r="F46" s="7" t="s">
        <v>23</v>
      </c>
      <c r="G46" s="7">
        <v>1</v>
      </c>
      <c r="H46" s="11" t="s">
        <v>13</v>
      </c>
      <c r="I46" s="11" t="s">
        <v>14</v>
      </c>
      <c r="J46" s="5" t="s">
        <v>58</v>
      </c>
    </row>
    <row r="47" hidden="1" customHeight="1" spans="1:10">
      <c r="A47" s="2">
        <v>471</v>
      </c>
      <c r="B47" s="7" t="s">
        <v>113</v>
      </c>
      <c r="C47" s="11" t="s">
        <v>114</v>
      </c>
      <c r="D47" s="7" t="str">
        <f>_xlfn.DISPIMG("ID_8D72BD435F95452A9D2B7BA7E2FB33C5",1)</f>
        <v>=DISPIMG("ID_8D72BD435F95452A9D2B7BA7E2FB33C5",1)</v>
      </c>
      <c r="E47" s="22">
        <v>0.99</v>
      </c>
      <c r="F47" s="7" t="s">
        <v>12</v>
      </c>
      <c r="G47" s="7">
        <v>1</v>
      </c>
      <c r="H47" s="11" t="s">
        <v>13</v>
      </c>
      <c r="I47" s="11" t="s">
        <v>14</v>
      </c>
      <c r="J47" s="5" t="s">
        <v>58</v>
      </c>
    </row>
    <row r="48" hidden="1" customHeight="1" spans="1:10">
      <c r="A48" s="2">
        <v>472</v>
      </c>
      <c r="B48" s="7" t="s">
        <v>115</v>
      </c>
      <c r="C48" s="15" t="s">
        <v>116</v>
      </c>
      <c r="D48" s="7" t="str">
        <f>_xlfn.DISPIMG("ID_A111E247AC614A738CF23A5E96AB7130",1)</f>
        <v>=DISPIMG("ID_A111E247AC614A738CF23A5E96AB7130",1)</v>
      </c>
      <c r="E48" s="7"/>
      <c r="F48" s="7" t="s">
        <v>12</v>
      </c>
      <c r="G48" s="7">
        <v>1</v>
      </c>
      <c r="H48" s="11" t="s">
        <v>117</v>
      </c>
      <c r="I48" s="11" t="s">
        <v>14</v>
      </c>
      <c r="J48" s="5" t="s">
        <v>58</v>
      </c>
    </row>
    <row r="49" hidden="1" customHeight="1" spans="1:10">
      <c r="A49" s="2">
        <v>473</v>
      </c>
      <c r="B49" s="5" t="s">
        <v>118</v>
      </c>
      <c r="C49" s="15" t="s">
        <v>116</v>
      </c>
      <c r="D49" s="2" t="str">
        <f>_xlfn.DISPIMG("ID_7A3510CCEFFB440C909F351CCB5EB9F2",1)</f>
        <v>=DISPIMG("ID_7A3510CCEFFB440C909F351CCB5EB9F2",1)</v>
      </c>
      <c r="I49" s="11" t="s">
        <v>14</v>
      </c>
      <c r="J49" s="5" t="s">
        <v>58</v>
      </c>
    </row>
    <row r="50" hidden="1" customHeight="1" spans="1:10">
      <c r="A50" s="2">
        <v>474</v>
      </c>
      <c r="B50" s="5" t="s">
        <v>118</v>
      </c>
      <c r="C50" s="16">
        <v>25174</v>
      </c>
      <c r="D50" s="2" t="str">
        <f>_xlfn.DISPIMG("ID_606A1B4B3C914FB7B65E2CC442024590",1)</f>
        <v>=DISPIMG("ID_606A1B4B3C914FB7B65E2CC442024590",1)</v>
      </c>
      <c r="I50" s="11" t="s">
        <v>14</v>
      </c>
      <c r="J50" s="5" t="s">
        <v>58</v>
      </c>
    </row>
    <row r="51" hidden="1" customHeight="1" spans="1:10">
      <c r="A51" s="2">
        <v>475</v>
      </c>
      <c r="B51" s="5" t="s">
        <v>118</v>
      </c>
      <c r="C51" s="16">
        <v>25174</v>
      </c>
      <c r="D51" s="2" t="str">
        <f>_xlfn.DISPIMG("ID_C13C1C579F494547822B8FEDD3563F40",1)</f>
        <v>=DISPIMG("ID_C13C1C579F494547822B8FEDD3563F40",1)</v>
      </c>
      <c r="I51" s="11" t="s">
        <v>14</v>
      </c>
      <c r="J51" s="5" t="s">
        <v>58</v>
      </c>
    </row>
    <row r="52" hidden="1" customHeight="1" spans="1:10">
      <c r="A52" s="2">
        <v>476</v>
      </c>
      <c r="B52" s="5" t="s">
        <v>118</v>
      </c>
      <c r="C52" s="15" t="s">
        <v>116</v>
      </c>
      <c r="D52" s="2" t="str">
        <f>_xlfn.DISPIMG("ID_606A1B4B3C914FB7B65E2CC442024590",1)</f>
        <v>=DISPIMG("ID_606A1B4B3C914FB7B65E2CC442024590",1)</v>
      </c>
      <c r="I52" s="11" t="s">
        <v>14</v>
      </c>
      <c r="J52" s="5" t="s">
        <v>58</v>
      </c>
    </row>
    <row r="53" hidden="1" customHeight="1" spans="1:10">
      <c r="A53" s="2">
        <v>477</v>
      </c>
      <c r="B53" s="7" t="s">
        <v>119</v>
      </c>
      <c r="C53" s="15" t="s">
        <v>116</v>
      </c>
      <c r="D53" s="7" t="str">
        <f>_xlfn.DISPIMG("ID_E771A8C28A5A455E924B1D08F2218F93",1)</f>
        <v>=DISPIMG("ID_E771A8C28A5A455E924B1D08F2218F93",1)</v>
      </c>
      <c r="E53" s="23">
        <v>0.995</v>
      </c>
      <c r="F53" s="7" t="s">
        <v>12</v>
      </c>
      <c r="G53" s="7">
        <v>1</v>
      </c>
      <c r="H53" s="11" t="s">
        <v>13</v>
      </c>
      <c r="I53" s="11" t="s">
        <v>14</v>
      </c>
      <c r="J53" s="5" t="s">
        <v>58</v>
      </c>
    </row>
    <row r="54" hidden="1" customHeight="1" spans="1:10">
      <c r="A54" s="2">
        <v>478</v>
      </c>
      <c r="B54" s="6" t="s">
        <v>120</v>
      </c>
      <c r="C54" s="11" t="s">
        <v>121</v>
      </c>
      <c r="D54" s="7" t="str">
        <f>_xlfn.DISPIMG("ID_BC265FC7EE504896A3CDB6D15821F590",1)</f>
        <v>=DISPIMG("ID_BC265FC7EE504896A3CDB6D15821F590",1)</v>
      </c>
      <c r="E54" s="22"/>
      <c r="F54" s="7" t="s">
        <v>50</v>
      </c>
      <c r="G54" s="7">
        <v>1</v>
      </c>
      <c r="H54" s="11" t="s">
        <v>13</v>
      </c>
      <c r="I54" s="11" t="s">
        <v>14</v>
      </c>
      <c r="J54" s="5" t="s">
        <v>58</v>
      </c>
    </row>
    <row r="55" hidden="1" customHeight="1" spans="1:10">
      <c r="A55" s="2">
        <v>479</v>
      </c>
      <c r="B55" s="5" t="s">
        <v>122</v>
      </c>
      <c r="C55" s="5" t="s">
        <v>123</v>
      </c>
      <c r="D55" s="2" t="str">
        <f>_xlfn.DISPIMG("ID_D7829C8D6EB04D6BB648C33739EE5F72",1)</f>
        <v>=DISPIMG("ID_D7829C8D6EB04D6BB648C33739EE5F72",1)</v>
      </c>
      <c r="E55" s="20">
        <v>0.95</v>
      </c>
      <c r="F55" s="5" t="s">
        <v>124</v>
      </c>
      <c r="G55" s="7">
        <v>1</v>
      </c>
      <c r="H55" s="11" t="s">
        <v>13</v>
      </c>
      <c r="I55" s="11" t="s">
        <v>14</v>
      </c>
      <c r="J55" s="5" t="s">
        <v>58</v>
      </c>
    </row>
    <row r="56" hidden="1" customHeight="1" spans="1:10">
      <c r="A56" s="2">
        <v>481</v>
      </c>
      <c r="B56" s="7" t="s">
        <v>119</v>
      </c>
      <c r="C56" s="14">
        <v>25174</v>
      </c>
      <c r="D56" s="7" t="str">
        <f>_xlfn.DISPIMG("ID_6649A4D978374F9A8D5304BD59B418EE",1)</f>
        <v>=DISPIMG("ID_6649A4D978374F9A8D5304BD59B418EE",1)</v>
      </c>
      <c r="E56" s="23">
        <v>0.995</v>
      </c>
      <c r="F56" s="7" t="s">
        <v>12</v>
      </c>
      <c r="G56" s="7">
        <v>1</v>
      </c>
      <c r="H56" s="11" t="s">
        <v>13</v>
      </c>
      <c r="I56" s="11" t="s">
        <v>14</v>
      </c>
      <c r="J56" s="5" t="s">
        <v>125</v>
      </c>
    </row>
    <row r="57" hidden="1" customHeight="1" spans="1:10">
      <c r="A57" s="2">
        <v>482</v>
      </c>
      <c r="B57" s="7" t="s">
        <v>119</v>
      </c>
      <c r="C57" s="12">
        <v>25174</v>
      </c>
      <c r="D57" s="7" t="str">
        <f>_xlfn.DISPIMG("ID_A0CA381506D343AE97E9DA2BB377F79D",1)</f>
        <v>=DISPIMG("ID_A0CA381506D343AE97E9DA2BB377F79D",1)</v>
      </c>
      <c r="E57" s="23">
        <v>0.999</v>
      </c>
      <c r="F57" s="7" t="s">
        <v>126</v>
      </c>
      <c r="G57" s="7">
        <v>1</v>
      </c>
      <c r="H57" s="11" t="s">
        <v>13</v>
      </c>
      <c r="I57" s="11" t="s">
        <v>14</v>
      </c>
      <c r="J57" s="5" t="s">
        <v>125</v>
      </c>
    </row>
    <row r="58" hidden="1" customHeight="1" spans="1:10">
      <c r="A58" s="2">
        <v>483</v>
      </c>
      <c r="B58" s="7" t="s">
        <v>127</v>
      </c>
      <c r="C58" s="7" t="s">
        <v>128</v>
      </c>
      <c r="D58" s="7" t="str">
        <f>_xlfn.DISPIMG("ID_4E257C9205654EB987976A259CC8F8BF",1)</f>
        <v>=DISPIMG("ID_4E257C9205654EB987976A259CC8F8BF",1)</v>
      </c>
      <c r="E58" s="22">
        <v>0.98</v>
      </c>
      <c r="F58" s="7" t="s">
        <v>12</v>
      </c>
      <c r="G58" s="7">
        <v>1</v>
      </c>
      <c r="H58" s="11" t="s">
        <v>13</v>
      </c>
      <c r="I58" s="11" t="s">
        <v>14</v>
      </c>
      <c r="J58" s="5" t="s">
        <v>125</v>
      </c>
    </row>
    <row r="59" hidden="1" customHeight="1" spans="1:10">
      <c r="A59" s="2">
        <v>484</v>
      </c>
      <c r="B59" s="7" t="s">
        <v>119</v>
      </c>
      <c r="C59" s="17">
        <v>25174</v>
      </c>
      <c r="D59" s="7" t="str">
        <f>_xlfn.DISPIMG("ID_81998AEDE0BE4492A6A68E281FFADBC0",1)</f>
        <v>=DISPIMG("ID_81998AEDE0BE4492A6A68E281FFADBC0",1)</v>
      </c>
      <c r="E59" s="23">
        <v>0.995</v>
      </c>
      <c r="F59" s="7" t="s">
        <v>12</v>
      </c>
      <c r="G59" s="7">
        <v>3</v>
      </c>
      <c r="H59" s="11" t="s">
        <v>13</v>
      </c>
      <c r="I59" s="11" t="s">
        <v>14</v>
      </c>
      <c r="J59" s="5" t="s">
        <v>125</v>
      </c>
    </row>
    <row r="60" hidden="1" customHeight="1" spans="1:10">
      <c r="A60" s="2">
        <v>485</v>
      </c>
      <c r="B60" s="7" t="s">
        <v>129</v>
      </c>
      <c r="C60" s="18" t="s">
        <v>130</v>
      </c>
      <c r="D60" s="7" t="str">
        <f>_xlfn.DISPIMG("ID_0B4FAC7B75204838BE321E1B0F39133C",1)</f>
        <v>=DISPIMG("ID_0B4FAC7B75204838BE321E1B0F39133C",1)</v>
      </c>
      <c r="E60" s="22">
        <v>0.98</v>
      </c>
      <c r="F60" s="7" t="s">
        <v>12</v>
      </c>
      <c r="G60" s="7">
        <v>1</v>
      </c>
      <c r="H60" s="11" t="s">
        <v>13</v>
      </c>
      <c r="I60" s="11" t="s">
        <v>14</v>
      </c>
      <c r="J60" s="5" t="s">
        <v>125</v>
      </c>
    </row>
    <row r="61" hidden="1" customHeight="1" spans="1:10">
      <c r="A61" s="2">
        <v>486</v>
      </c>
      <c r="B61" s="7" t="s">
        <v>131</v>
      </c>
      <c r="C61" s="18" t="s">
        <v>132</v>
      </c>
      <c r="D61" s="7" t="str">
        <f>_xlfn.DISPIMG("ID_D97D383D22D6487FA34CF897EADBF748",1)</f>
        <v>=DISPIMG("ID_D97D383D22D6487FA34CF897EADBF748",1)</v>
      </c>
      <c r="E61" s="22">
        <v>0.8</v>
      </c>
      <c r="F61" s="7" t="s">
        <v>12</v>
      </c>
      <c r="G61" s="7">
        <v>3</v>
      </c>
      <c r="H61" s="11" t="s">
        <v>13</v>
      </c>
      <c r="I61" s="11" t="s">
        <v>14</v>
      </c>
      <c r="J61" s="5" t="s">
        <v>125</v>
      </c>
    </row>
    <row r="62" hidden="1" customHeight="1" spans="1:10">
      <c r="A62" s="2">
        <v>487</v>
      </c>
      <c r="B62" s="2" t="s">
        <v>133</v>
      </c>
      <c r="C62" s="11" t="s">
        <v>134</v>
      </c>
      <c r="D62" s="7" t="str">
        <f>_xlfn.DISPIMG("ID_3181554483E74267A8F611C67EDB0998",1)</f>
        <v>=DISPIMG("ID_3181554483E74267A8F611C67EDB0998",1)</v>
      </c>
      <c r="E62" s="24">
        <v>0.985</v>
      </c>
      <c r="F62" s="2" t="s">
        <v>94</v>
      </c>
      <c r="G62" s="2">
        <v>2</v>
      </c>
      <c r="H62" s="5" t="s">
        <v>13</v>
      </c>
      <c r="I62" s="11" t="s">
        <v>14</v>
      </c>
      <c r="J62" s="5" t="s">
        <v>125</v>
      </c>
    </row>
    <row r="63" hidden="1" customHeight="1" spans="1:10">
      <c r="A63" s="2">
        <v>488</v>
      </c>
      <c r="B63" s="7" t="s">
        <v>113</v>
      </c>
      <c r="C63" s="10" t="s">
        <v>114</v>
      </c>
      <c r="D63" s="11" t="str">
        <f>_xlfn.DISPIMG("ID_63391A5C5FF1459CB2BD0DB0275EFD20",1)</f>
        <v>=DISPIMG("ID_63391A5C5FF1459CB2BD0DB0275EFD20",1)</v>
      </c>
      <c r="E63" s="22">
        <v>0.99</v>
      </c>
      <c r="F63" s="7" t="s">
        <v>12</v>
      </c>
      <c r="G63" s="7">
        <v>2</v>
      </c>
      <c r="H63" s="11" t="s">
        <v>13</v>
      </c>
      <c r="I63" s="11" t="s">
        <v>14</v>
      </c>
      <c r="J63" s="5" t="s">
        <v>125</v>
      </c>
    </row>
    <row r="64" hidden="1" customHeight="1" spans="1:10">
      <c r="A64" s="2">
        <v>489</v>
      </c>
      <c r="B64" s="7" t="s">
        <v>97</v>
      </c>
      <c r="C64" s="10" t="s">
        <v>11</v>
      </c>
      <c r="D64" s="11" t="str">
        <f>_xlfn.DISPIMG("ID_EA066258FBDF4940A1A0CB29D1B7BD8F",1)</f>
        <v>=DISPIMG("ID_EA066258FBDF4940A1A0CB29D1B7BD8F",1)</v>
      </c>
      <c r="E64" s="22">
        <v>0.99</v>
      </c>
      <c r="F64" s="7" t="s">
        <v>12</v>
      </c>
      <c r="G64" s="7">
        <v>1</v>
      </c>
      <c r="H64" s="11" t="s">
        <v>135</v>
      </c>
      <c r="I64" s="11" t="s">
        <v>14</v>
      </c>
      <c r="J64" s="5" t="s">
        <v>125</v>
      </c>
    </row>
    <row r="65" hidden="1" customHeight="1" spans="1:10">
      <c r="A65" s="2">
        <v>490</v>
      </c>
      <c r="B65" s="6" t="s">
        <v>136</v>
      </c>
      <c r="C65" s="7" t="s">
        <v>137</v>
      </c>
      <c r="D65" s="7" t="str">
        <f>_xlfn.DISPIMG("ID_A32B2AAC237249D9A5FB16D1B394D768",1)</f>
        <v>=DISPIMG("ID_A32B2AAC237249D9A5FB16D1B394D768",1)</v>
      </c>
      <c r="E65" s="22">
        <v>0.99</v>
      </c>
      <c r="F65" s="7" t="s">
        <v>45</v>
      </c>
      <c r="G65" s="7">
        <v>1</v>
      </c>
      <c r="H65" s="11" t="s">
        <v>13</v>
      </c>
      <c r="I65" s="11" t="s">
        <v>14</v>
      </c>
      <c r="J65" s="5" t="s">
        <v>125</v>
      </c>
    </row>
    <row r="66" hidden="1" customHeight="1" spans="1:10">
      <c r="A66" s="2">
        <v>491</v>
      </c>
      <c r="B66" s="7" t="s">
        <v>138</v>
      </c>
      <c r="C66" s="7" t="s">
        <v>139</v>
      </c>
      <c r="D66" s="7" t="str">
        <f>_xlfn.DISPIMG("ID_25949B28CB8F44AE891A0F50F3691A9C",1)</f>
        <v>=DISPIMG("ID_25949B28CB8F44AE891A0F50F3691A9C",1)</v>
      </c>
      <c r="E66" s="23">
        <v>0.995</v>
      </c>
      <c r="F66" s="7"/>
      <c r="G66" s="7">
        <v>1</v>
      </c>
      <c r="H66" s="11" t="s">
        <v>13</v>
      </c>
      <c r="I66" s="11" t="s">
        <v>14</v>
      </c>
      <c r="J66" s="5" t="s">
        <v>125</v>
      </c>
    </row>
    <row r="67" hidden="1" customHeight="1" spans="1:10">
      <c r="A67" s="2">
        <v>492</v>
      </c>
      <c r="B67" s="7" t="s">
        <v>140</v>
      </c>
      <c r="C67" s="7" t="s">
        <v>141</v>
      </c>
      <c r="D67" s="7" t="str">
        <f>_xlfn.DISPIMG("ID_8E723E9B538D400191D541888F09AC32",1)</f>
        <v>=DISPIMG("ID_8E723E9B538D400191D541888F09AC32",1)</v>
      </c>
      <c r="E67" s="22">
        <v>0.99</v>
      </c>
      <c r="F67" s="7" t="s">
        <v>57</v>
      </c>
      <c r="G67" s="7">
        <v>1</v>
      </c>
      <c r="H67" s="11" t="s">
        <v>135</v>
      </c>
      <c r="I67" s="11" t="s">
        <v>14</v>
      </c>
      <c r="J67" s="5" t="s">
        <v>125</v>
      </c>
    </row>
    <row r="68" hidden="1" customHeight="1" spans="1:10">
      <c r="A68" s="2">
        <v>493</v>
      </c>
      <c r="B68" s="7" t="s">
        <v>105</v>
      </c>
      <c r="C68" s="7" t="s">
        <v>106</v>
      </c>
      <c r="D68" s="7" t="str">
        <f>_xlfn.DISPIMG("ID_9F6576672FA44348AF63C32E875C940C",1)</f>
        <v>=DISPIMG("ID_9F6576672FA44348AF63C32E875C940C",1)</v>
      </c>
      <c r="E68" s="22">
        <v>0.995</v>
      </c>
      <c r="F68" s="7" t="s">
        <v>12</v>
      </c>
      <c r="G68" s="7">
        <v>1</v>
      </c>
      <c r="H68" s="11" t="s">
        <v>13</v>
      </c>
      <c r="I68" s="11" t="s">
        <v>14</v>
      </c>
      <c r="J68" s="5" t="s">
        <v>125</v>
      </c>
    </row>
    <row r="69" hidden="1" customHeight="1" spans="1:10">
      <c r="A69" s="2">
        <v>494</v>
      </c>
      <c r="B69" s="7" t="s">
        <v>52</v>
      </c>
      <c r="C69" s="7" t="s">
        <v>142</v>
      </c>
      <c r="D69" s="7" t="str">
        <f>_xlfn.DISPIMG("ID_C3E1333CFFB84FE8BA10B523CBABC1A6",1)</f>
        <v>=DISPIMG("ID_C3E1333CFFB84FE8BA10B523CBABC1A6",1)</v>
      </c>
      <c r="E69" s="22"/>
      <c r="F69" s="7" t="s">
        <v>57</v>
      </c>
      <c r="G69" s="7">
        <v>2</v>
      </c>
      <c r="H69" s="11" t="s">
        <v>13</v>
      </c>
      <c r="I69" s="11" t="s">
        <v>14</v>
      </c>
      <c r="J69" s="5" t="s">
        <v>125</v>
      </c>
    </row>
    <row r="70" hidden="1" customHeight="1" spans="1:10">
      <c r="A70" s="2">
        <v>495</v>
      </c>
      <c r="B70" s="5" t="s">
        <v>143</v>
      </c>
      <c r="C70" s="5" t="s">
        <v>144</v>
      </c>
      <c r="D70" s="2" t="str">
        <f>_xlfn.DISPIMG("ID_CADAABC639984186BA1CD902C802BDFE",1)</f>
        <v>=DISPIMG("ID_CADAABC639984186BA1CD902C802BDFE",1)</v>
      </c>
      <c r="E70" s="20">
        <v>0.98</v>
      </c>
      <c r="F70" s="5" t="s">
        <v>45</v>
      </c>
      <c r="G70" s="2">
        <v>1</v>
      </c>
      <c r="H70" s="5" t="s">
        <v>13</v>
      </c>
      <c r="I70" s="5" t="s">
        <v>14</v>
      </c>
      <c r="J70" s="5" t="s">
        <v>125</v>
      </c>
    </row>
    <row r="71" hidden="1" customHeight="1" spans="1:10">
      <c r="A71" s="2">
        <v>496</v>
      </c>
      <c r="B71" s="5" t="s">
        <v>145</v>
      </c>
      <c r="C71" s="5" t="s">
        <v>146</v>
      </c>
      <c r="D71" s="2" t="str">
        <f>_xlfn.DISPIMG("ID_D5C94690A68B4C5CBC8D9A5B44A4E741",1)</f>
        <v>=DISPIMG("ID_D5C94690A68B4C5CBC8D9A5B44A4E741",1)</v>
      </c>
      <c r="E71" s="20">
        <v>0.98</v>
      </c>
      <c r="F71" s="5" t="s">
        <v>147</v>
      </c>
      <c r="G71" s="2">
        <v>1</v>
      </c>
      <c r="H71" s="5" t="s">
        <v>13</v>
      </c>
      <c r="I71" s="5" t="s">
        <v>14</v>
      </c>
      <c r="J71" s="5" t="s">
        <v>125</v>
      </c>
    </row>
    <row r="72" hidden="1" customHeight="1" spans="1:10">
      <c r="A72" s="2">
        <v>497</v>
      </c>
      <c r="B72" s="5" t="s">
        <v>148</v>
      </c>
      <c r="C72" s="16">
        <v>40331</v>
      </c>
      <c r="D72" s="2" t="str">
        <f>_xlfn.DISPIMG("ID_2F837DFA109345CE9CF3BFBF1A00A3A6",1)</f>
        <v>=DISPIMG("ID_2F837DFA109345CE9CF3BFBF1A00A3A6",1)</v>
      </c>
      <c r="E72" s="20">
        <v>0.98</v>
      </c>
      <c r="F72" s="5" t="s">
        <v>27</v>
      </c>
      <c r="G72" s="2">
        <v>1</v>
      </c>
      <c r="H72" s="5" t="s">
        <v>13</v>
      </c>
      <c r="I72" s="5" t="s">
        <v>14</v>
      </c>
      <c r="J72" s="5" t="s">
        <v>125</v>
      </c>
    </row>
    <row r="73" hidden="1" customHeight="1" spans="1:10">
      <c r="A73" s="2">
        <v>498</v>
      </c>
      <c r="B73" s="5" t="s">
        <v>149</v>
      </c>
      <c r="C73" s="5" t="s">
        <v>150</v>
      </c>
      <c r="D73" s="2" t="str">
        <f>_xlfn.DISPIMG("ID_1FEF8D26A953450BA1DD06745C1DD370",1)</f>
        <v>=DISPIMG("ID_1FEF8D26A953450BA1DD06745C1DD370",1)</v>
      </c>
      <c r="E73" s="20">
        <v>0.85</v>
      </c>
      <c r="F73" s="5" t="s">
        <v>12</v>
      </c>
      <c r="G73" s="2">
        <v>1</v>
      </c>
      <c r="H73" s="5" t="s">
        <v>13</v>
      </c>
      <c r="I73" s="5" t="s">
        <v>14</v>
      </c>
      <c r="J73" s="5" t="s">
        <v>125</v>
      </c>
    </row>
    <row r="74" hidden="1" customHeight="1" spans="1:10">
      <c r="A74" s="2">
        <v>499</v>
      </c>
      <c r="B74" s="5" t="s">
        <v>151</v>
      </c>
      <c r="C74" s="5" t="s">
        <v>106</v>
      </c>
      <c r="D74" s="2" t="str">
        <f>_xlfn.DISPIMG("ID_B4D728065DE1425B82EDEAB02F2CC040",1)</f>
        <v>=DISPIMG("ID_B4D728065DE1425B82EDEAB02F2CC040",1)</v>
      </c>
      <c r="E74" s="27">
        <v>0.995</v>
      </c>
      <c r="F74" s="5" t="s">
        <v>12</v>
      </c>
      <c r="G74" s="2">
        <v>1</v>
      </c>
      <c r="H74" s="5" t="s">
        <v>13</v>
      </c>
      <c r="I74" s="5" t="s">
        <v>14</v>
      </c>
      <c r="J74" s="5" t="s">
        <v>125</v>
      </c>
    </row>
    <row r="75" hidden="1" customHeight="1" spans="1:10">
      <c r="A75" s="2">
        <v>500</v>
      </c>
      <c r="B75" s="2" t="s">
        <v>152</v>
      </c>
      <c r="C75" s="5" t="s">
        <v>153</v>
      </c>
      <c r="D75" s="2" t="str">
        <f>_xlfn.DISPIMG("ID_265A2FAF4529436DAE0CE7851E72034E",1)</f>
        <v>=DISPIMG("ID_265A2FAF4529436DAE0CE7851E72034E",1)</v>
      </c>
      <c r="E75" s="28">
        <v>0.98</v>
      </c>
      <c r="F75" s="5" t="s">
        <v>23</v>
      </c>
      <c r="G75" s="2">
        <v>1</v>
      </c>
      <c r="H75" s="5" t="s">
        <v>13</v>
      </c>
      <c r="I75" s="5" t="s">
        <v>14</v>
      </c>
      <c r="J75" s="5" t="s">
        <v>125</v>
      </c>
    </row>
    <row r="76" hidden="1" customHeight="1" spans="1:10">
      <c r="A76" s="2">
        <v>501</v>
      </c>
      <c r="B76" s="5" t="s">
        <v>154</v>
      </c>
      <c r="C76" s="5" t="s">
        <v>155</v>
      </c>
      <c r="D76" s="2" t="str">
        <f>_xlfn.DISPIMG("ID_08A5280569E447AD87E4C84AA036740F",1)</f>
        <v>=DISPIMG("ID_08A5280569E447AD87E4C84AA036740F",1)</v>
      </c>
      <c r="E76" s="20">
        <v>0.99</v>
      </c>
      <c r="F76" s="5" t="s">
        <v>156</v>
      </c>
      <c r="G76" s="2">
        <v>1</v>
      </c>
      <c r="H76" s="5" t="s">
        <v>13</v>
      </c>
      <c r="I76" s="5" t="s">
        <v>14</v>
      </c>
      <c r="J76" s="5" t="s">
        <v>125</v>
      </c>
    </row>
    <row r="77" hidden="1" customHeight="1" spans="1:10">
      <c r="A77" s="2">
        <v>502</v>
      </c>
      <c r="B77" s="5" t="s">
        <v>157</v>
      </c>
      <c r="C77" s="5" t="s">
        <v>53</v>
      </c>
      <c r="D77" s="2" t="str">
        <f>_xlfn.DISPIMG("ID_D8970659829D4359BC77705CA6B7A870",1)</f>
        <v>=DISPIMG("ID_D8970659829D4359BC77705CA6B7A870",1)</v>
      </c>
      <c r="E77" s="20">
        <v>0.99</v>
      </c>
      <c r="G77" s="2">
        <v>1</v>
      </c>
      <c r="H77" s="5" t="s">
        <v>13</v>
      </c>
      <c r="I77" s="5" t="s">
        <v>14</v>
      </c>
      <c r="J77" s="5" t="s">
        <v>125</v>
      </c>
    </row>
    <row r="78" hidden="1" customHeight="1" spans="1:10">
      <c r="A78" s="2">
        <v>503</v>
      </c>
      <c r="B78" s="5" t="s">
        <v>158</v>
      </c>
      <c r="C78" s="5" t="s">
        <v>128</v>
      </c>
      <c r="D78" s="2" t="str">
        <f>_xlfn.DISPIMG("ID_256083145A654B50BE260C163AA78C77",1)</f>
        <v>=DISPIMG("ID_256083145A654B50BE260C163AA78C77",1)</v>
      </c>
      <c r="E78" s="20">
        <v>0.99</v>
      </c>
      <c r="F78" s="5" t="s">
        <v>147</v>
      </c>
      <c r="G78" s="2">
        <v>1</v>
      </c>
      <c r="H78" s="5" t="s">
        <v>13</v>
      </c>
      <c r="I78" s="5" t="s">
        <v>14</v>
      </c>
      <c r="J78" s="5" t="s">
        <v>125</v>
      </c>
    </row>
    <row r="79" hidden="1" customHeight="1" spans="1:10">
      <c r="A79" s="2">
        <v>504</v>
      </c>
      <c r="B79" s="5" t="s">
        <v>159</v>
      </c>
      <c r="C79" s="5" t="s">
        <v>160</v>
      </c>
      <c r="D79" s="2" t="str">
        <f>_xlfn.DISPIMG("ID_DEF0AFF16B8D4CC7811064E4664F4C21",1)</f>
        <v>=DISPIMG("ID_DEF0AFF16B8D4CC7811064E4664F4C21",1)</v>
      </c>
      <c r="E79" s="20">
        <v>0.97</v>
      </c>
      <c r="F79" s="5" t="s">
        <v>161</v>
      </c>
      <c r="G79" s="2">
        <v>1</v>
      </c>
      <c r="H79" s="5" t="s">
        <v>13</v>
      </c>
      <c r="I79" s="5" t="s">
        <v>14</v>
      </c>
      <c r="J79" s="5" t="s">
        <v>125</v>
      </c>
    </row>
    <row r="80" hidden="1" customHeight="1" spans="1:10">
      <c r="A80" s="2">
        <v>505</v>
      </c>
      <c r="B80" s="5" t="s">
        <v>162</v>
      </c>
      <c r="C80" s="5" t="s">
        <v>163</v>
      </c>
      <c r="D80" s="2" t="str">
        <f>_xlfn.DISPIMG("ID_2514FB428AC94EFC9BB2386BC19B9156",1)</f>
        <v>=DISPIMG("ID_2514FB428AC94EFC9BB2386BC19B9156",1)</v>
      </c>
      <c r="E80" s="20">
        <v>0.98</v>
      </c>
      <c r="F80" s="5" t="s">
        <v>75</v>
      </c>
      <c r="G80" s="2">
        <v>1</v>
      </c>
      <c r="H80" s="5" t="s">
        <v>13</v>
      </c>
      <c r="I80" s="5" t="s">
        <v>14</v>
      </c>
      <c r="J80" s="5" t="s">
        <v>125</v>
      </c>
    </row>
    <row r="81" hidden="1" customHeight="1" spans="1:10">
      <c r="A81" s="2">
        <v>506</v>
      </c>
      <c r="B81" s="5" t="s">
        <v>164</v>
      </c>
      <c r="C81" s="5" t="s">
        <v>165</v>
      </c>
      <c r="D81" s="2" t="str">
        <f>_xlfn.DISPIMG("ID_62B5D0933CFB4579B8FD279A765F2269",1)</f>
        <v>=DISPIMG("ID_62B5D0933CFB4579B8FD279A765F2269",1)</v>
      </c>
      <c r="E81" s="5" t="s">
        <v>166</v>
      </c>
      <c r="G81" s="2">
        <v>1</v>
      </c>
      <c r="H81" s="5" t="s">
        <v>13</v>
      </c>
      <c r="I81" s="5" t="s">
        <v>14</v>
      </c>
      <c r="J81" s="5" t="s">
        <v>125</v>
      </c>
    </row>
    <row r="82" hidden="1" customHeight="1" spans="1:10">
      <c r="A82" s="2">
        <v>507</v>
      </c>
      <c r="B82" s="7" t="s">
        <v>167</v>
      </c>
      <c r="C82" s="7" t="s">
        <v>168</v>
      </c>
      <c r="D82" s="7" t="str">
        <f>_xlfn.DISPIMG("ID_006A5009EE984BBB9C24BE1428B07C8A",1)</f>
        <v>=DISPIMG("ID_006A5009EE984BBB9C24BE1428B07C8A",1)</v>
      </c>
      <c r="E82" s="22">
        <v>0.99</v>
      </c>
      <c r="F82" s="7" t="s">
        <v>12</v>
      </c>
      <c r="G82" s="7">
        <v>1</v>
      </c>
      <c r="H82" s="11" t="s">
        <v>13</v>
      </c>
      <c r="I82" s="11" t="s">
        <v>14</v>
      </c>
      <c r="J82" s="5" t="s">
        <v>169</v>
      </c>
    </row>
    <row r="83" hidden="1" customHeight="1" spans="1:10">
      <c r="A83" s="2">
        <v>508</v>
      </c>
      <c r="B83" s="7" t="s">
        <v>119</v>
      </c>
      <c r="C83" s="15" t="s">
        <v>116</v>
      </c>
      <c r="D83" s="7" t="str">
        <f>_xlfn.DISPIMG("ID_E771A8C28A5A455E924B1D08F2218F93",1)</f>
        <v>=DISPIMG("ID_E771A8C28A5A455E924B1D08F2218F93",1)</v>
      </c>
      <c r="E83" s="23">
        <v>0.995</v>
      </c>
      <c r="F83" s="7" t="s">
        <v>12</v>
      </c>
      <c r="G83" s="7">
        <v>1</v>
      </c>
      <c r="H83" s="11" t="s">
        <v>13</v>
      </c>
      <c r="I83" s="11" t="s">
        <v>14</v>
      </c>
      <c r="J83" s="5" t="s">
        <v>170</v>
      </c>
    </row>
    <row r="84" hidden="1" customHeight="1" spans="1:10">
      <c r="A84" s="2">
        <v>509</v>
      </c>
      <c r="B84" s="7" t="s">
        <v>171</v>
      </c>
      <c r="C84" s="7" t="s">
        <v>121</v>
      </c>
      <c r="D84" s="7" t="str">
        <f>_xlfn.DISPIMG("ID_BC1B37905B474ECCB2EDFFA1657D8558",1)</f>
        <v>=DISPIMG("ID_BC1B37905B474ECCB2EDFFA1657D8558",1)</v>
      </c>
      <c r="E84" s="23">
        <v>0.99</v>
      </c>
      <c r="F84" s="7" t="s">
        <v>50</v>
      </c>
      <c r="G84" s="7">
        <v>1</v>
      </c>
      <c r="H84" s="11" t="s">
        <v>13</v>
      </c>
      <c r="I84" s="11" t="s">
        <v>14</v>
      </c>
      <c r="J84" s="5" t="s">
        <v>172</v>
      </c>
    </row>
    <row r="85" hidden="1" customHeight="1" spans="1:10">
      <c r="A85" s="2">
        <v>510</v>
      </c>
      <c r="B85" s="7" t="s">
        <v>173</v>
      </c>
      <c r="C85" s="7" t="s">
        <v>174</v>
      </c>
      <c r="D85" s="7" t="str">
        <f>_xlfn.DISPIMG("ID_F789DF3C06F94C418A1117C9CBFCCCB6",1)</f>
        <v>=DISPIMG("ID_F789DF3C06F94C418A1117C9CBFCCCB6",1)</v>
      </c>
      <c r="E85" s="22">
        <v>0.99</v>
      </c>
      <c r="F85" s="7" t="s">
        <v>175</v>
      </c>
      <c r="G85" s="7">
        <v>1</v>
      </c>
      <c r="H85" s="11" t="s">
        <v>13</v>
      </c>
      <c r="I85" s="11" t="s">
        <v>14</v>
      </c>
      <c r="J85" s="5" t="s">
        <v>172</v>
      </c>
    </row>
    <row r="86" hidden="1" customHeight="1" spans="1:10">
      <c r="A86" s="2">
        <v>511</v>
      </c>
      <c r="B86" s="7" t="s">
        <v>176</v>
      </c>
      <c r="C86" s="7" t="s">
        <v>177</v>
      </c>
      <c r="D86" s="7" t="str">
        <f>_xlfn.DISPIMG("ID_6F2A3B975E67434B85056C1278EBBD51",1)</f>
        <v>=DISPIMG("ID_6F2A3B975E67434B85056C1278EBBD51",1)</v>
      </c>
      <c r="E86" s="22">
        <v>0.97</v>
      </c>
      <c r="F86" s="7" t="s">
        <v>57</v>
      </c>
      <c r="G86" s="7">
        <v>1</v>
      </c>
      <c r="H86" s="11" t="s">
        <v>13</v>
      </c>
      <c r="I86" s="11" t="s">
        <v>14</v>
      </c>
      <c r="J86" s="5" t="s">
        <v>172</v>
      </c>
    </row>
    <row r="87" hidden="1" customHeight="1" spans="1:10">
      <c r="A87" s="2">
        <v>512</v>
      </c>
      <c r="B87" s="7" t="s">
        <v>178</v>
      </c>
      <c r="C87" s="7" t="s">
        <v>179</v>
      </c>
      <c r="D87" s="7" t="str">
        <f>_xlfn.DISPIMG("ID_943CB92D6D4C4B508034AEB764926A4F",1)</f>
        <v>=DISPIMG("ID_943CB92D6D4C4B508034AEB764926A4F",1)</v>
      </c>
      <c r="E87" s="22">
        <v>0.99</v>
      </c>
      <c r="F87" s="7" t="s">
        <v>45</v>
      </c>
      <c r="G87" s="7">
        <v>1</v>
      </c>
      <c r="H87" s="11" t="s">
        <v>13</v>
      </c>
      <c r="I87" s="11" t="s">
        <v>14</v>
      </c>
      <c r="J87" s="5" t="s">
        <v>172</v>
      </c>
    </row>
    <row r="88" hidden="1" customHeight="1" spans="1:10">
      <c r="A88" s="2">
        <v>514</v>
      </c>
      <c r="B88" s="5" t="s">
        <v>180</v>
      </c>
      <c r="C88" s="5" t="s">
        <v>181</v>
      </c>
      <c r="D88" s="2" t="str">
        <f>_xlfn.DISPIMG("ID_83AA5CBE6AEA4EE287637041D8534BB7",1)</f>
        <v>=DISPIMG("ID_83AA5CBE6AEA4EE287637041D8534BB7",1)</v>
      </c>
      <c r="E88" s="5" t="s">
        <v>182</v>
      </c>
      <c r="F88" s="5" t="s">
        <v>12</v>
      </c>
      <c r="G88" s="2">
        <v>1</v>
      </c>
      <c r="H88" s="5" t="s">
        <v>13</v>
      </c>
      <c r="I88" s="5" t="s">
        <v>14</v>
      </c>
      <c r="J88" s="5" t="s">
        <v>172</v>
      </c>
    </row>
    <row r="89" hidden="1" customHeight="1" spans="1:10">
      <c r="A89" s="2">
        <v>515</v>
      </c>
      <c r="B89" s="5" t="s">
        <v>183</v>
      </c>
      <c r="C89" s="26" t="s">
        <v>114</v>
      </c>
      <c r="F89" s="5" t="s">
        <v>57</v>
      </c>
      <c r="G89" s="2">
        <v>1</v>
      </c>
      <c r="H89" s="5" t="s">
        <v>13</v>
      </c>
      <c r="I89" s="5" t="s">
        <v>14</v>
      </c>
      <c r="J89" s="5" t="s">
        <v>172</v>
      </c>
    </row>
    <row r="90" hidden="1" customHeight="1" spans="1:10">
      <c r="A90" s="2">
        <v>516</v>
      </c>
      <c r="B90" s="5" t="s">
        <v>184</v>
      </c>
      <c r="C90" s="5" t="s">
        <v>185</v>
      </c>
      <c r="D90" s="2" t="str">
        <f>_xlfn.DISPIMG("ID_5B8E93DEC0254A71AA1F972AF8461C0D",1)</f>
        <v>=DISPIMG("ID_5B8E93DEC0254A71AA1F972AF8461C0D",1)</v>
      </c>
      <c r="E90" s="20">
        <v>0.99</v>
      </c>
      <c r="F90" s="5" t="s">
        <v>45</v>
      </c>
      <c r="G90" s="2">
        <v>1</v>
      </c>
      <c r="H90" s="5" t="s">
        <v>13</v>
      </c>
      <c r="I90" s="5" t="s">
        <v>14</v>
      </c>
      <c r="J90" s="5" t="s">
        <v>172</v>
      </c>
    </row>
    <row r="91" hidden="1" customHeight="1" spans="1:10">
      <c r="A91" s="2">
        <v>517</v>
      </c>
      <c r="B91" s="5" t="s">
        <v>186</v>
      </c>
      <c r="C91" s="5" t="s">
        <v>181</v>
      </c>
      <c r="D91" s="2" t="str">
        <f>_xlfn.DISPIMG("ID_C7D4C0841DFE4C9BBC40D5B0E5D7271D",1)</f>
        <v>=DISPIMG("ID_C7D4C0841DFE4C9BBC40D5B0E5D7271D",1)</v>
      </c>
      <c r="E91" s="20">
        <v>0.99</v>
      </c>
      <c r="F91" s="5" t="s">
        <v>50</v>
      </c>
      <c r="G91" s="2">
        <v>1</v>
      </c>
      <c r="H91" s="5" t="s">
        <v>13</v>
      </c>
      <c r="I91" s="5" t="s">
        <v>14</v>
      </c>
      <c r="J91" s="5" t="s">
        <v>172</v>
      </c>
    </row>
    <row r="92" hidden="1" customHeight="1" spans="1:10">
      <c r="A92" s="2">
        <v>518</v>
      </c>
      <c r="B92" s="7" t="s">
        <v>111</v>
      </c>
      <c r="C92" s="7" t="s">
        <v>112</v>
      </c>
      <c r="D92" s="7" t="str">
        <f>_xlfn.DISPIMG("ID_9A5AE4C277314ABA832D29128F642DC3",1)</f>
        <v>=DISPIMG("ID_9A5AE4C277314ABA832D29128F642DC3",1)</v>
      </c>
      <c r="E92" s="22">
        <v>0.98</v>
      </c>
      <c r="F92" s="7" t="s">
        <v>45</v>
      </c>
      <c r="G92" s="7">
        <v>1</v>
      </c>
      <c r="H92" s="11" t="s">
        <v>13</v>
      </c>
      <c r="I92" s="11" t="s">
        <v>14</v>
      </c>
      <c r="J92" s="11" t="s">
        <v>187</v>
      </c>
    </row>
    <row r="93" hidden="1" customHeight="1" spans="1:10">
      <c r="A93" s="2">
        <v>519</v>
      </c>
      <c r="B93" s="7" t="s">
        <v>188</v>
      </c>
      <c r="C93" s="7" t="s">
        <v>189</v>
      </c>
      <c r="D93" s="7" t="str">
        <f>_xlfn.DISPIMG("ID_830265629BC64662978A97C42BC09A46",1)</f>
        <v>=DISPIMG("ID_830265629BC64662978A97C42BC09A46",1)</v>
      </c>
      <c r="E93" s="22">
        <v>0.99</v>
      </c>
      <c r="F93" s="7" t="s">
        <v>45</v>
      </c>
      <c r="G93" s="7">
        <v>1</v>
      </c>
      <c r="H93" s="11" t="s">
        <v>13</v>
      </c>
      <c r="I93" s="11" t="s">
        <v>14</v>
      </c>
      <c r="J93" s="11" t="s">
        <v>187</v>
      </c>
    </row>
    <row r="94" hidden="1" customHeight="1" spans="1:10">
      <c r="A94" s="2">
        <v>520</v>
      </c>
      <c r="B94" s="7" t="s">
        <v>190</v>
      </c>
      <c r="C94" s="7" t="s">
        <v>191</v>
      </c>
      <c r="D94" s="7" t="str">
        <f>_xlfn.DISPIMG("ID_DB16EBCED8D34F6D88D006F490C74652",1)</f>
        <v>=DISPIMG("ID_DB16EBCED8D34F6D88D006F490C74652",1)</v>
      </c>
      <c r="E94" s="22">
        <v>0.98</v>
      </c>
      <c r="F94" s="7" t="s">
        <v>45</v>
      </c>
      <c r="G94" s="7">
        <v>1</v>
      </c>
      <c r="H94" s="11" t="s">
        <v>13</v>
      </c>
      <c r="I94" s="11" t="s">
        <v>14</v>
      </c>
      <c r="J94" s="11" t="s">
        <v>187</v>
      </c>
    </row>
    <row r="95" hidden="1" customHeight="1" spans="1:10">
      <c r="A95" s="2">
        <v>521</v>
      </c>
      <c r="B95" s="7" t="s">
        <v>192</v>
      </c>
      <c r="C95" s="7" t="s">
        <v>193</v>
      </c>
      <c r="D95" s="7" t="str">
        <f>_xlfn.DISPIMG("ID_A042BAFEB9114D9FB121B6128D77496C",1)</f>
        <v>=DISPIMG("ID_A042BAFEB9114D9FB121B6128D77496C",1)</v>
      </c>
      <c r="E95" s="22">
        <v>0.99</v>
      </c>
      <c r="F95" s="7" t="s">
        <v>50</v>
      </c>
      <c r="G95" s="7">
        <v>1</v>
      </c>
      <c r="H95" s="11" t="s">
        <v>13</v>
      </c>
      <c r="I95" s="11" t="s">
        <v>14</v>
      </c>
      <c r="J95" s="11" t="s">
        <v>187</v>
      </c>
    </row>
    <row r="96" hidden="1" customHeight="1" spans="1:10">
      <c r="A96" s="2">
        <v>535</v>
      </c>
      <c r="B96" s="11" t="s">
        <v>194</v>
      </c>
      <c r="C96" s="7" t="s">
        <v>195</v>
      </c>
      <c r="D96" s="7" t="str">
        <f>_xlfn.DISPIMG("ID_9F275015C2094BBBA1E7BD813056EA79",1)</f>
        <v>=DISPIMG("ID_9F275015C2094BBBA1E7BD813056EA79",1)</v>
      </c>
      <c r="E96" s="22">
        <v>0.98</v>
      </c>
      <c r="F96" s="7" t="s">
        <v>23</v>
      </c>
      <c r="G96" s="7">
        <v>1</v>
      </c>
      <c r="H96" s="11" t="s">
        <v>13</v>
      </c>
      <c r="I96" s="11" t="s">
        <v>14</v>
      </c>
      <c r="J96" s="11" t="s">
        <v>196</v>
      </c>
    </row>
    <row r="97" hidden="1" customHeight="1" spans="1:10">
      <c r="A97" s="2">
        <v>536</v>
      </c>
      <c r="B97" s="7" t="s">
        <v>197</v>
      </c>
      <c r="C97" s="7" t="s">
        <v>198</v>
      </c>
      <c r="D97" s="7" t="str">
        <f>_xlfn.DISPIMG("ID_8BC67844762D4F2AADFD29CCBF231A6E",1)</f>
        <v>=DISPIMG("ID_8BC67844762D4F2AADFD29CCBF231A6E",1)</v>
      </c>
      <c r="E97" s="22">
        <v>0.98</v>
      </c>
      <c r="F97" s="7" t="s">
        <v>45</v>
      </c>
      <c r="G97" s="7">
        <v>1</v>
      </c>
      <c r="H97" s="11" t="s">
        <v>13</v>
      </c>
      <c r="I97" s="11" t="s">
        <v>14</v>
      </c>
      <c r="J97" s="11" t="s">
        <v>196</v>
      </c>
    </row>
    <row r="98" hidden="1" customHeight="1" spans="1:10">
      <c r="A98" s="2">
        <v>537</v>
      </c>
      <c r="B98" s="7" t="s">
        <v>171</v>
      </c>
      <c r="C98" s="7" t="s">
        <v>121</v>
      </c>
      <c r="D98" s="7" t="str">
        <f>_xlfn.DISPIMG("ID_4229A14C276944808B3D5DDCDDBB3861",1)</f>
        <v>=DISPIMG("ID_4229A14C276944808B3D5DDCDDBB3861",1)</v>
      </c>
      <c r="E98" s="23">
        <v>0.995</v>
      </c>
      <c r="F98" s="7" t="s">
        <v>45</v>
      </c>
      <c r="G98" s="7">
        <v>1</v>
      </c>
      <c r="H98" s="11" t="s">
        <v>13</v>
      </c>
      <c r="I98" s="11" t="s">
        <v>14</v>
      </c>
      <c r="J98" s="11" t="s">
        <v>196</v>
      </c>
    </row>
    <row r="99" hidden="1" customHeight="1" spans="1:10">
      <c r="A99" s="2">
        <v>538</v>
      </c>
      <c r="B99" s="7" t="s">
        <v>199</v>
      </c>
      <c r="C99" s="7" t="s">
        <v>200</v>
      </c>
      <c r="D99" s="7" t="str">
        <f>_xlfn.DISPIMG("ID_E606764C60194BF7A5AE91F2166A52AB",1)</f>
        <v>=DISPIMG("ID_E606764C60194BF7A5AE91F2166A52AB",1)</v>
      </c>
      <c r="E99" s="23">
        <v>0.999</v>
      </c>
      <c r="F99" s="7" t="s">
        <v>45</v>
      </c>
      <c r="G99" s="7">
        <v>1</v>
      </c>
      <c r="H99" s="11" t="s">
        <v>13</v>
      </c>
      <c r="I99" s="11" t="s">
        <v>14</v>
      </c>
      <c r="J99" s="11" t="s">
        <v>196</v>
      </c>
    </row>
    <row r="100" hidden="1" customHeight="1" spans="1:10">
      <c r="A100" s="2">
        <v>539</v>
      </c>
      <c r="B100" s="7" t="s">
        <v>92</v>
      </c>
      <c r="C100" s="7" t="s">
        <v>201</v>
      </c>
      <c r="D100" s="7" t="str">
        <f>_xlfn.DISPIMG("ID_C8B2DF8604A94419830F68833817C959",1)</f>
        <v>=DISPIMG("ID_C8B2DF8604A94419830F68833817C959",1)</v>
      </c>
      <c r="E100" s="7" t="s">
        <v>202</v>
      </c>
      <c r="F100" s="7" t="s">
        <v>45</v>
      </c>
      <c r="G100" s="7">
        <v>1</v>
      </c>
      <c r="H100" s="11" t="s">
        <v>13</v>
      </c>
      <c r="I100" s="11" t="s">
        <v>14</v>
      </c>
      <c r="J100" s="11" t="s">
        <v>196</v>
      </c>
    </row>
    <row r="101" hidden="1" customHeight="1" spans="1:10">
      <c r="A101" s="2">
        <v>540</v>
      </c>
      <c r="B101" s="7" t="s">
        <v>203</v>
      </c>
      <c r="C101" s="12">
        <v>752160</v>
      </c>
      <c r="D101" s="7" t="str">
        <f>_xlfn.DISPIMG("ID_324649439B1C43469DE711059FA3A98F",1)</f>
        <v>=DISPIMG("ID_324649439B1C43469DE711059FA3A98F",1)</v>
      </c>
      <c r="E101" s="22">
        <v>0.97</v>
      </c>
      <c r="F101" s="7" t="s">
        <v>27</v>
      </c>
      <c r="G101" s="7">
        <v>1</v>
      </c>
      <c r="H101" s="11" t="s">
        <v>13</v>
      </c>
      <c r="I101" s="11" t="s">
        <v>14</v>
      </c>
      <c r="J101" s="11" t="s">
        <v>196</v>
      </c>
    </row>
    <row r="102" hidden="1" customHeight="1" spans="1:10">
      <c r="A102" s="2">
        <v>541</v>
      </c>
      <c r="B102" s="7" t="s">
        <v>204</v>
      </c>
      <c r="C102" s="7" t="s">
        <v>205</v>
      </c>
      <c r="D102" s="7" t="str">
        <f>_xlfn.DISPIMG("ID_43B6760193CD442AA724CA3AAAD381DB",1)</f>
        <v>=DISPIMG("ID_43B6760193CD442AA724CA3AAAD381DB",1)</v>
      </c>
      <c r="E102" s="22">
        <v>0.99</v>
      </c>
      <c r="F102" s="7" t="s">
        <v>23</v>
      </c>
      <c r="G102" s="7">
        <v>2</v>
      </c>
      <c r="H102" s="11" t="s">
        <v>13</v>
      </c>
      <c r="I102" s="11" t="s">
        <v>14</v>
      </c>
      <c r="J102" s="11" t="s">
        <v>196</v>
      </c>
    </row>
    <row r="103" hidden="1" customHeight="1" spans="1:10">
      <c r="A103" s="2">
        <v>542</v>
      </c>
      <c r="B103" s="7" t="s">
        <v>206</v>
      </c>
      <c r="C103" s="7" t="s">
        <v>207</v>
      </c>
      <c r="D103" s="7" t="str">
        <f>_xlfn.DISPIMG("ID_15A3A142271841D888FECF2DD53B0907",1)</f>
        <v>=DISPIMG("ID_15A3A142271841D888FECF2DD53B0907",1)</v>
      </c>
      <c r="E103" s="22">
        <v>0.98</v>
      </c>
      <c r="F103" s="7" t="s">
        <v>23</v>
      </c>
      <c r="G103" s="7">
        <v>1</v>
      </c>
      <c r="H103" s="11" t="s">
        <v>13</v>
      </c>
      <c r="I103" s="11" t="s">
        <v>14</v>
      </c>
      <c r="J103" s="11" t="s">
        <v>196</v>
      </c>
    </row>
    <row r="104" hidden="1" customHeight="1" spans="1:10">
      <c r="A104" s="2">
        <v>543</v>
      </c>
      <c r="B104" s="7" t="s">
        <v>208</v>
      </c>
      <c r="C104" s="7" t="s">
        <v>86</v>
      </c>
      <c r="D104" s="7" t="str">
        <f>_xlfn.DISPIMG("ID_D30376E5C39B4EA7948444B6E2D586F0",1)</f>
        <v>=DISPIMG("ID_D30376E5C39B4EA7948444B6E2D586F0",1)</v>
      </c>
      <c r="E104" s="22">
        <v>0.97</v>
      </c>
      <c r="F104" s="7" t="s">
        <v>23</v>
      </c>
      <c r="G104" s="7">
        <v>1</v>
      </c>
      <c r="H104" s="11" t="s">
        <v>13</v>
      </c>
      <c r="I104" s="11" t="s">
        <v>14</v>
      </c>
      <c r="J104" s="11" t="s">
        <v>196</v>
      </c>
    </row>
    <row r="105" hidden="1" customHeight="1" spans="1:10">
      <c r="A105" s="2">
        <v>565</v>
      </c>
      <c r="B105" s="11" t="s">
        <v>209</v>
      </c>
      <c r="C105" s="11" t="s">
        <v>210</v>
      </c>
      <c r="D105" s="11" t="str">
        <f>_xlfn.DISPIMG("ID_ADFF4242ACDC4C1E8922C5211B0CB8F2",1)</f>
        <v>=DISPIMG("ID_ADFF4242ACDC4C1E8922C5211B0CB8F2",1)</v>
      </c>
      <c r="E105" s="28">
        <v>0.99</v>
      </c>
      <c r="F105" s="11" t="s">
        <v>45</v>
      </c>
      <c r="G105" s="11">
        <v>1</v>
      </c>
      <c r="H105" s="11" t="s">
        <v>13</v>
      </c>
      <c r="I105" s="11" t="s">
        <v>14</v>
      </c>
      <c r="J105" s="11" t="s">
        <v>196</v>
      </c>
    </row>
    <row r="106" hidden="1" customHeight="1" spans="1:10">
      <c r="A106" s="2">
        <v>569</v>
      </c>
      <c r="B106" s="7" t="s">
        <v>211</v>
      </c>
      <c r="C106" s="7" t="s">
        <v>212</v>
      </c>
      <c r="D106" s="7" t="str">
        <f>_xlfn.DISPIMG("ID_AE4BFCD052A448A6B06CC38E74362A9D",1)</f>
        <v>=DISPIMG("ID_AE4BFCD052A448A6B06CC38E74362A9D",1)</v>
      </c>
      <c r="E106" s="22">
        <v>0.99</v>
      </c>
      <c r="F106" s="7"/>
      <c r="G106" s="7">
        <v>1</v>
      </c>
      <c r="H106" s="11" t="s">
        <v>135</v>
      </c>
      <c r="I106" s="11" t="s">
        <v>14</v>
      </c>
      <c r="J106" s="11" t="s">
        <v>213</v>
      </c>
    </row>
    <row r="107" hidden="1" customHeight="1" spans="1:10">
      <c r="A107" s="2">
        <v>570</v>
      </c>
      <c r="B107" s="7" t="s">
        <v>102</v>
      </c>
      <c r="C107" s="7" t="s">
        <v>103</v>
      </c>
      <c r="D107" s="7" t="str">
        <f>_xlfn.DISPIMG("ID_63E1ACF4ADFD496DB87D0588DFB36AB1",1)</f>
        <v>=DISPIMG("ID_63E1ACF4ADFD496DB87D0588DFB36AB1",1)</v>
      </c>
      <c r="E107" s="22">
        <v>0.98</v>
      </c>
      <c r="F107" s="7"/>
      <c r="G107" s="7">
        <v>1</v>
      </c>
      <c r="H107" s="11" t="s">
        <v>13</v>
      </c>
      <c r="I107" s="11" t="s">
        <v>14</v>
      </c>
      <c r="J107" s="7" t="s">
        <v>214</v>
      </c>
    </row>
    <row r="108" hidden="1" customHeight="1" spans="1:10">
      <c r="A108" s="2">
        <v>573</v>
      </c>
      <c r="B108" s="11" t="s">
        <v>215</v>
      </c>
      <c r="C108" s="15" t="s">
        <v>216</v>
      </c>
      <c r="D108" s="7" t="str">
        <f>_xlfn.DISPIMG("ID_76E474DE828D489192F56701365A3142",1)</f>
        <v>=DISPIMG("ID_76E474DE828D489192F56701365A3142",1)</v>
      </c>
      <c r="E108" s="22">
        <v>0.95</v>
      </c>
      <c r="F108" s="7"/>
      <c r="G108" s="7">
        <v>1</v>
      </c>
      <c r="H108" s="11" t="s">
        <v>13</v>
      </c>
      <c r="I108" s="11" t="s">
        <v>14</v>
      </c>
      <c r="J108" s="11" t="s">
        <v>213</v>
      </c>
    </row>
    <row r="109" hidden="1" customHeight="1" spans="1:10">
      <c r="A109" s="2">
        <v>578</v>
      </c>
      <c r="B109" s="5" t="s">
        <v>217</v>
      </c>
      <c r="C109" s="5" t="s">
        <v>218</v>
      </c>
      <c r="D109" s="26" t="str">
        <f>_xlfn.DISPIMG("ID_90F664FF3092482E88CBF880BDA4B569",1)</f>
        <v>=DISPIMG("ID_90F664FF3092482E88CBF880BDA4B569",1)</v>
      </c>
      <c r="E109" s="23">
        <v>0.9984</v>
      </c>
      <c r="F109" s="5" t="s">
        <v>27</v>
      </c>
      <c r="G109" s="26">
        <v>1</v>
      </c>
      <c r="H109" s="11" t="s">
        <v>13</v>
      </c>
      <c r="I109" s="11" t="s">
        <v>14</v>
      </c>
      <c r="J109" s="5" t="s">
        <v>213</v>
      </c>
    </row>
    <row r="110" hidden="1" customHeight="1" spans="1:10">
      <c r="A110" s="2">
        <v>583</v>
      </c>
      <c r="B110" s="7" t="s">
        <v>219</v>
      </c>
      <c r="C110" s="15" t="s">
        <v>220</v>
      </c>
      <c r="D110" s="7" t="str">
        <f>_xlfn.DISPIMG("ID_35048C2135BC4BC58BB12F14FAC6A151",1)</f>
        <v>=DISPIMG("ID_35048C2135BC4BC58BB12F14FAC6A151",1)</v>
      </c>
      <c r="E110" s="22">
        <v>0.98</v>
      </c>
      <c r="F110" s="7" t="s">
        <v>75</v>
      </c>
      <c r="G110" s="7">
        <v>1</v>
      </c>
      <c r="H110" s="11" t="s">
        <v>13</v>
      </c>
      <c r="I110" s="11" t="s">
        <v>14</v>
      </c>
      <c r="J110" s="11" t="s">
        <v>221</v>
      </c>
    </row>
    <row r="111" hidden="1" customHeight="1" spans="1:10">
      <c r="A111" s="2">
        <v>615</v>
      </c>
      <c r="B111" s="7" t="s">
        <v>64</v>
      </c>
      <c r="C111" s="7" t="s">
        <v>65</v>
      </c>
      <c r="D111" s="7" t="str">
        <f>_xlfn.DISPIMG("ID_9FA23BB5EA224FEE9242E3A4FDB8EE18",1)</f>
        <v>=DISPIMG("ID_9FA23BB5EA224FEE9242E3A4FDB8EE18",1)</v>
      </c>
      <c r="E111" s="23">
        <v>0.995</v>
      </c>
      <c r="F111" s="7" t="s">
        <v>175</v>
      </c>
      <c r="G111" s="7">
        <v>1</v>
      </c>
      <c r="H111" s="11" t="s">
        <v>13</v>
      </c>
      <c r="I111" s="11" t="s">
        <v>14</v>
      </c>
      <c r="J111" s="11" t="s">
        <v>222</v>
      </c>
    </row>
    <row r="112" hidden="1" customHeight="1" spans="1:10">
      <c r="A112" s="2">
        <v>616</v>
      </c>
      <c r="B112" s="7" t="s">
        <v>64</v>
      </c>
      <c r="C112" s="7" t="s">
        <v>65</v>
      </c>
      <c r="D112" s="7" t="str">
        <f>_xlfn.DISPIMG("ID_8FC180F75C93439E8DEEEF51BD1B287F",1)</f>
        <v>=DISPIMG("ID_8FC180F75C93439E8DEEEF51BD1B287F",1)</v>
      </c>
      <c r="E112" s="22">
        <v>0.98</v>
      </c>
      <c r="F112" s="7" t="s">
        <v>175</v>
      </c>
      <c r="G112" s="7">
        <v>2</v>
      </c>
      <c r="H112" s="11" t="s">
        <v>13</v>
      </c>
      <c r="I112" s="11" t="s">
        <v>14</v>
      </c>
      <c r="J112" s="11" t="s">
        <v>222</v>
      </c>
    </row>
    <row r="113" hidden="1" customHeight="1" spans="1:10">
      <c r="A113" s="2">
        <v>650</v>
      </c>
      <c r="B113" s="5" t="s">
        <v>223</v>
      </c>
      <c r="C113" s="5" t="s">
        <v>224</v>
      </c>
      <c r="D113" s="26" t="str">
        <f>_xlfn.DISPIMG("ID_69F975F78DDB4333BBFB4C1021EEC516",1)</f>
        <v>=DISPIMG("ID_69F975F78DDB4333BBFB4C1021EEC516",1)</v>
      </c>
      <c r="E113" s="22">
        <v>0.98</v>
      </c>
      <c r="F113" s="5" t="s">
        <v>23</v>
      </c>
      <c r="G113" s="26">
        <v>1</v>
      </c>
      <c r="H113" s="11" t="s">
        <v>13</v>
      </c>
      <c r="I113" s="11" t="s">
        <v>14</v>
      </c>
      <c r="J113" s="11" t="s">
        <v>225</v>
      </c>
    </row>
    <row r="114" hidden="1" customHeight="1" spans="1:10">
      <c r="A114" s="2">
        <v>651</v>
      </c>
      <c r="B114" s="5" t="s">
        <v>226</v>
      </c>
      <c r="C114" s="5" t="s">
        <v>227</v>
      </c>
      <c r="D114" s="26" t="str">
        <f>_xlfn.DISPIMG("ID_7FE87912D51B4A6BB027300B5EE32770",1)</f>
        <v>=DISPIMG("ID_7FE87912D51B4A6BB027300B5EE32770",1)</v>
      </c>
      <c r="E114" s="22">
        <v>0.98</v>
      </c>
      <c r="F114" s="5" t="s">
        <v>27</v>
      </c>
      <c r="G114" s="26">
        <v>1</v>
      </c>
      <c r="H114" s="11" t="s">
        <v>13</v>
      </c>
      <c r="I114" s="11" t="s">
        <v>14</v>
      </c>
      <c r="J114" s="11" t="s">
        <v>225</v>
      </c>
    </row>
    <row r="115" hidden="1" customHeight="1" spans="1:10">
      <c r="A115" s="2">
        <v>652</v>
      </c>
      <c r="B115" s="5" t="s">
        <v>228</v>
      </c>
      <c r="C115" s="5" t="s">
        <v>229</v>
      </c>
      <c r="D115" s="26" t="str">
        <f>_xlfn.DISPIMG("ID_30291C4D86E641EABE7C6B0FA428B1F2",1)</f>
        <v>=DISPIMG("ID_30291C4D86E641EABE7C6B0FA428B1F2",1)</v>
      </c>
      <c r="E115" s="22">
        <v>0.98</v>
      </c>
      <c r="F115" s="5" t="s">
        <v>27</v>
      </c>
      <c r="G115" s="26">
        <v>1</v>
      </c>
      <c r="H115" s="11" t="s">
        <v>13</v>
      </c>
      <c r="I115" s="11" t="s">
        <v>14</v>
      </c>
      <c r="J115" s="11" t="s">
        <v>225</v>
      </c>
    </row>
    <row r="116" hidden="1" customHeight="1" spans="1:10">
      <c r="A116" s="2">
        <v>653</v>
      </c>
      <c r="B116" s="5" t="s">
        <v>230</v>
      </c>
      <c r="C116" s="5" t="s">
        <v>231</v>
      </c>
      <c r="D116" s="26" t="str">
        <f>_xlfn.DISPIMG("ID_29CF52B8E9554AE1806A51E2479AA8F4",1)</f>
        <v>=DISPIMG("ID_29CF52B8E9554AE1806A51E2479AA8F4",1)</v>
      </c>
      <c r="E116" s="22">
        <v>0.98</v>
      </c>
      <c r="F116" s="5" t="s">
        <v>27</v>
      </c>
      <c r="G116" s="26">
        <v>1</v>
      </c>
      <c r="H116" s="11" t="s">
        <v>13</v>
      </c>
      <c r="I116" s="11" t="s">
        <v>14</v>
      </c>
      <c r="J116" s="11" t="s">
        <v>225</v>
      </c>
    </row>
    <row r="117" hidden="1" customHeight="1" spans="1:10">
      <c r="A117" s="2">
        <v>654</v>
      </c>
      <c r="B117" s="5" t="s">
        <v>232</v>
      </c>
      <c r="C117" s="5" t="s">
        <v>233</v>
      </c>
      <c r="D117" s="26" t="str">
        <f>_xlfn.DISPIMG("ID_DDBE2F3EC71844D2943759491E52935F",1)</f>
        <v>=DISPIMG("ID_DDBE2F3EC71844D2943759491E52935F",1)</v>
      </c>
      <c r="E117" s="22">
        <v>0.95</v>
      </c>
      <c r="F117" s="5" t="s">
        <v>27</v>
      </c>
      <c r="G117" s="26">
        <v>1</v>
      </c>
      <c r="H117" s="11" t="s">
        <v>13</v>
      </c>
      <c r="I117" s="11" t="s">
        <v>14</v>
      </c>
      <c r="J117" s="11" t="s">
        <v>225</v>
      </c>
    </row>
    <row r="118" hidden="1" customHeight="1" spans="1:10">
      <c r="A118" s="2">
        <v>655</v>
      </c>
      <c r="B118" s="5" t="s">
        <v>234</v>
      </c>
      <c r="C118" s="5" t="s">
        <v>235</v>
      </c>
      <c r="D118" s="26" t="str">
        <f>_xlfn.DISPIMG("ID_91C0EA420DC446C79CC0B0B8EC36CDDB",1)</f>
        <v>=DISPIMG("ID_91C0EA420DC446C79CC0B0B8EC36CDDB",1)</v>
      </c>
      <c r="E118" s="23">
        <v>0.9983</v>
      </c>
      <c r="F118" s="5" t="s">
        <v>23</v>
      </c>
      <c r="G118" s="26">
        <v>1</v>
      </c>
      <c r="H118" s="11" t="s">
        <v>13</v>
      </c>
      <c r="I118" s="11" t="s">
        <v>14</v>
      </c>
      <c r="J118" s="11" t="s">
        <v>225</v>
      </c>
    </row>
    <row r="119" hidden="1" customHeight="1" spans="1:10">
      <c r="A119" s="2">
        <v>656</v>
      </c>
      <c r="B119" s="5" t="s">
        <v>236</v>
      </c>
      <c r="C119" s="15" t="s">
        <v>237</v>
      </c>
      <c r="D119" s="26" t="str">
        <f>_xlfn.DISPIMG("ID_EA1B55BD1D6948F68CA036E0E093B9D0",1)</f>
        <v>=DISPIMG("ID_EA1B55BD1D6948F68CA036E0E093B9D0",1)</v>
      </c>
      <c r="E119" s="22">
        <v>0.98</v>
      </c>
      <c r="F119" s="5" t="s">
        <v>45</v>
      </c>
      <c r="G119" s="26">
        <v>1</v>
      </c>
      <c r="H119" s="11" t="s">
        <v>13</v>
      </c>
      <c r="I119" s="11" t="s">
        <v>14</v>
      </c>
      <c r="J119" s="11" t="s">
        <v>238</v>
      </c>
    </row>
    <row r="120" hidden="1" customHeight="1" spans="1:10">
      <c r="A120" s="2">
        <v>657</v>
      </c>
      <c r="B120" s="5" t="s">
        <v>239</v>
      </c>
      <c r="C120" s="5" t="s">
        <v>240</v>
      </c>
      <c r="D120" s="26" t="str">
        <f>_xlfn.DISPIMG("ID_F4C55B62ABAB4778966EB9D4DC250495",1)</f>
        <v>=DISPIMG("ID_F4C55B62ABAB4778966EB9D4DC250495",1)</v>
      </c>
      <c r="E120" s="22">
        <v>0.98</v>
      </c>
      <c r="F120" s="5" t="s">
        <v>23</v>
      </c>
      <c r="G120" s="26">
        <v>1</v>
      </c>
      <c r="H120" s="5" t="s">
        <v>13</v>
      </c>
      <c r="I120" s="11" t="s">
        <v>14</v>
      </c>
      <c r="J120" s="5" t="s">
        <v>225</v>
      </c>
    </row>
    <row r="121" hidden="1" customHeight="1" spans="1:10">
      <c r="A121" s="2">
        <v>658</v>
      </c>
      <c r="B121" s="5" t="s">
        <v>241</v>
      </c>
      <c r="C121" s="5" t="s">
        <v>242</v>
      </c>
      <c r="D121" s="26" t="str">
        <f>_xlfn.DISPIMG("ID_1ECEB5B2456A45EDACDF96D91D11AC06",1)</f>
        <v>=DISPIMG("ID_1ECEB5B2456A45EDACDF96D91D11AC06",1)</v>
      </c>
      <c r="E121" s="22">
        <v>0.98</v>
      </c>
      <c r="F121" s="5" t="s">
        <v>27</v>
      </c>
      <c r="G121" s="26">
        <v>1</v>
      </c>
      <c r="H121" s="5" t="s">
        <v>13</v>
      </c>
      <c r="I121" s="11" t="s">
        <v>14</v>
      </c>
      <c r="J121" s="5" t="s">
        <v>225</v>
      </c>
    </row>
    <row r="122" hidden="1" customHeight="1" spans="1:10">
      <c r="A122" s="2">
        <v>662</v>
      </c>
      <c r="B122" s="5" t="s">
        <v>243</v>
      </c>
      <c r="C122" s="5" t="s">
        <v>244</v>
      </c>
      <c r="D122" s="26" t="str">
        <f>_xlfn.DISPIMG("ID_D38D893329D54AC9B5B1CE8A7A417480",1)</f>
        <v>=DISPIMG("ID_D38D893329D54AC9B5B1CE8A7A417480",1)</v>
      </c>
      <c r="E122" s="26"/>
      <c r="F122" s="5" t="s">
        <v>75</v>
      </c>
      <c r="G122" s="26">
        <v>1</v>
      </c>
      <c r="H122" s="5" t="s">
        <v>13</v>
      </c>
      <c r="I122" s="11" t="s">
        <v>14</v>
      </c>
      <c r="J122" s="5" t="s">
        <v>225</v>
      </c>
    </row>
    <row r="123" hidden="1" customHeight="1" spans="1:10">
      <c r="A123" s="2">
        <v>663</v>
      </c>
      <c r="B123" s="5" t="s">
        <v>245</v>
      </c>
      <c r="C123" s="5" t="s">
        <v>246</v>
      </c>
      <c r="D123" s="26" t="str">
        <f>_xlfn.DISPIMG("ID_137F27B8A7244B418B7586F06DDE1614",1)</f>
        <v>=DISPIMG("ID_137F27B8A7244B418B7586F06DDE1614",1)</v>
      </c>
      <c r="E123" s="26"/>
      <c r="F123" s="5" t="s">
        <v>27</v>
      </c>
      <c r="G123" s="26">
        <v>1</v>
      </c>
      <c r="H123" s="5" t="s">
        <v>13</v>
      </c>
      <c r="I123" s="11" t="s">
        <v>14</v>
      </c>
      <c r="J123" s="5" t="s">
        <v>225</v>
      </c>
    </row>
    <row r="124" hidden="1" customHeight="1" spans="1:10">
      <c r="A124" s="2">
        <v>665</v>
      </c>
      <c r="B124" s="5" t="s">
        <v>247</v>
      </c>
      <c r="C124" s="5" t="s">
        <v>248</v>
      </c>
      <c r="D124" s="26" t="str">
        <f>_xlfn.DISPIMG("ID_D72F1262FC5F4D2393FE4C0D6236A7E4",1)</f>
        <v>=DISPIMG("ID_D72F1262FC5F4D2393FE4C0D6236A7E4",1)</v>
      </c>
      <c r="E124" s="26"/>
      <c r="F124" s="5" t="s">
        <v>27</v>
      </c>
      <c r="G124" s="26">
        <v>1</v>
      </c>
      <c r="H124" s="5" t="s">
        <v>13</v>
      </c>
      <c r="I124" s="11" t="s">
        <v>14</v>
      </c>
      <c r="J124" s="5" t="s">
        <v>225</v>
      </c>
    </row>
    <row r="125" hidden="1" customHeight="1" spans="1:10">
      <c r="A125" s="2">
        <v>666</v>
      </c>
      <c r="B125" s="5" t="s">
        <v>249</v>
      </c>
      <c r="C125" s="5" t="s">
        <v>250</v>
      </c>
      <c r="D125" s="26" t="str">
        <f>_xlfn.DISPIMG("ID_E7102994D0F6450D900C0DCB8A116F1D",1)</f>
        <v>=DISPIMG("ID_E7102994D0F6450D900C0DCB8A116F1D",1)</v>
      </c>
      <c r="E125" s="26"/>
      <c r="F125" s="5" t="s">
        <v>27</v>
      </c>
      <c r="G125" s="26">
        <v>1</v>
      </c>
      <c r="H125" s="5" t="s">
        <v>13</v>
      </c>
      <c r="I125" s="11" t="s">
        <v>14</v>
      </c>
      <c r="J125" s="5" t="s">
        <v>225</v>
      </c>
    </row>
    <row r="126" hidden="1" customHeight="1" spans="1:10">
      <c r="A126" s="2">
        <v>669</v>
      </c>
      <c r="B126" s="5" t="s">
        <v>251</v>
      </c>
      <c r="C126" s="5" t="s">
        <v>252</v>
      </c>
      <c r="D126" s="26" t="str">
        <f>_xlfn.DISPIMG("ID_4BF55F14A142459EB532265324BD3749",1)</f>
        <v>=DISPIMG("ID_4BF55F14A142459EB532265324BD3749",1)</v>
      </c>
      <c r="E126" s="26"/>
      <c r="F126" s="5" t="s">
        <v>27</v>
      </c>
      <c r="G126" s="26">
        <v>1</v>
      </c>
      <c r="H126" s="5" t="s">
        <v>13</v>
      </c>
      <c r="I126" s="11" t="s">
        <v>14</v>
      </c>
      <c r="J126" s="5" t="s">
        <v>225</v>
      </c>
    </row>
    <row r="127" hidden="1" customHeight="1" spans="1:10">
      <c r="A127" s="2">
        <v>670</v>
      </c>
      <c r="B127" s="5" t="s">
        <v>253</v>
      </c>
      <c r="C127" s="5" t="s">
        <v>254</v>
      </c>
      <c r="D127" s="26" t="str">
        <f>_xlfn.DISPIMG("ID_D153584A7A284534B85B53CA9CC2BB50",1)</f>
        <v>=DISPIMG("ID_D153584A7A284534B85B53CA9CC2BB50",1)</v>
      </c>
      <c r="E127" s="26"/>
      <c r="F127" s="5" t="s">
        <v>27</v>
      </c>
      <c r="G127" s="26">
        <v>1</v>
      </c>
      <c r="H127" s="5" t="s">
        <v>13</v>
      </c>
      <c r="I127" s="11" t="s">
        <v>14</v>
      </c>
      <c r="J127" s="5" t="s">
        <v>225</v>
      </c>
    </row>
    <row r="128" hidden="1" customHeight="1" spans="1:10">
      <c r="A128" s="2">
        <v>671</v>
      </c>
      <c r="B128" s="5" t="s">
        <v>255</v>
      </c>
      <c r="C128" s="5" t="s">
        <v>256</v>
      </c>
      <c r="D128" s="5" t="str">
        <f>_xlfn.DISPIMG("ID_FFC70D6A1596451C965EB6ADC1750B43",1)</f>
        <v>=DISPIMG("ID_FFC70D6A1596451C965EB6ADC1750B43",1)</v>
      </c>
      <c r="E128" s="5"/>
      <c r="F128" s="5" t="s">
        <v>27</v>
      </c>
      <c r="G128" s="5">
        <v>1</v>
      </c>
      <c r="H128" s="5" t="s">
        <v>13</v>
      </c>
      <c r="I128" s="11" t="s">
        <v>14</v>
      </c>
      <c r="J128" s="5" t="s">
        <v>225</v>
      </c>
    </row>
    <row r="129" hidden="1" customHeight="1" spans="1:10">
      <c r="A129" s="2">
        <v>672</v>
      </c>
      <c r="B129" s="5" t="s">
        <v>257</v>
      </c>
      <c r="C129" s="5" t="s">
        <v>258</v>
      </c>
      <c r="D129" s="26" t="str">
        <f>_xlfn.DISPIMG("ID_B8B095D47121436B9C03BD98E50FCEA8",1)</f>
        <v>=DISPIMG("ID_B8B095D47121436B9C03BD98E50FCEA8",1)</v>
      </c>
      <c r="E129" s="26"/>
      <c r="F129" s="5" t="s">
        <v>23</v>
      </c>
      <c r="G129" s="26">
        <v>1</v>
      </c>
      <c r="H129" s="5" t="s">
        <v>13</v>
      </c>
      <c r="I129" s="26" t="s">
        <v>259</v>
      </c>
      <c r="J129" s="5" t="s">
        <v>225</v>
      </c>
    </row>
    <row r="130" hidden="1" customHeight="1" spans="1:10">
      <c r="A130" s="2">
        <v>673</v>
      </c>
      <c r="B130" s="5" t="s">
        <v>260</v>
      </c>
      <c r="C130" s="5" t="s">
        <v>261</v>
      </c>
      <c r="D130" s="26"/>
      <c r="E130" s="26"/>
      <c r="F130" s="5" t="s">
        <v>50</v>
      </c>
      <c r="G130" s="26">
        <v>1</v>
      </c>
      <c r="H130" s="5" t="s">
        <v>13</v>
      </c>
      <c r="I130" s="26" t="s">
        <v>259</v>
      </c>
      <c r="J130" s="5" t="s">
        <v>221</v>
      </c>
    </row>
    <row r="131" hidden="1" customHeight="1" spans="1:10">
      <c r="A131" s="2">
        <v>679</v>
      </c>
      <c r="B131" s="29" t="s">
        <v>262</v>
      </c>
      <c r="C131" s="5" t="s">
        <v>263</v>
      </c>
      <c r="D131" s="26" t="str">
        <f>_xlfn.DISPIMG("ID_68F24F6167EC47EA83EAB897DF474AC7",1)</f>
        <v>=DISPIMG("ID_68F24F6167EC47EA83EAB897DF474AC7",1)</v>
      </c>
      <c r="E131" s="26"/>
      <c r="F131" s="5" t="s">
        <v>50</v>
      </c>
      <c r="G131" s="26">
        <v>1</v>
      </c>
      <c r="H131" s="5" t="s">
        <v>13</v>
      </c>
      <c r="I131" s="26" t="s">
        <v>259</v>
      </c>
      <c r="J131" s="5" t="s">
        <v>221</v>
      </c>
    </row>
    <row r="132" hidden="1" customHeight="1" spans="1:10">
      <c r="A132" s="2">
        <v>682</v>
      </c>
      <c r="B132" s="5" t="s">
        <v>264</v>
      </c>
      <c r="C132" s="5" t="s">
        <v>265</v>
      </c>
      <c r="D132" s="26" t="str">
        <f>_xlfn.DISPIMG("ID_F56EC38F38254C61B6E932475C14E912",1)</f>
        <v>=DISPIMG("ID_F56EC38F38254C61B6E932475C14E912",1)</v>
      </c>
      <c r="E132" s="22">
        <v>0.98</v>
      </c>
      <c r="F132" s="5" t="s">
        <v>27</v>
      </c>
      <c r="G132" s="26">
        <v>1</v>
      </c>
      <c r="H132" s="5" t="s">
        <v>13</v>
      </c>
      <c r="I132" s="26" t="s">
        <v>259</v>
      </c>
      <c r="J132" s="5" t="s">
        <v>225</v>
      </c>
    </row>
    <row r="133" hidden="1" customHeight="1" spans="1:10">
      <c r="A133" s="2">
        <v>683</v>
      </c>
      <c r="B133" s="5" t="s">
        <v>266</v>
      </c>
      <c r="C133" s="5" t="s">
        <v>267</v>
      </c>
      <c r="D133" s="26" t="str">
        <f>_xlfn.DISPIMG("ID_3916F661AC894702B60000DB0B35C2C0",1)</f>
        <v>=DISPIMG("ID_3916F661AC894702B60000DB0B35C2C0",1)</v>
      </c>
      <c r="E133" s="22">
        <v>0.98</v>
      </c>
      <c r="F133" s="5" t="s">
        <v>27</v>
      </c>
      <c r="G133" s="26">
        <v>1</v>
      </c>
      <c r="H133" s="5" t="s">
        <v>13</v>
      </c>
      <c r="I133" s="26" t="s">
        <v>259</v>
      </c>
      <c r="J133" s="5" t="s">
        <v>225</v>
      </c>
    </row>
    <row r="134" hidden="1" customHeight="1" spans="1:10">
      <c r="A134" s="2">
        <v>685</v>
      </c>
      <c r="B134" s="5" t="s">
        <v>268</v>
      </c>
      <c r="C134" s="5" t="s">
        <v>269</v>
      </c>
      <c r="D134" s="26" t="str">
        <f>_xlfn.DISPIMG("ID_194B0ED21D694ADB9EB94585BE141CD6",1)</f>
        <v>=DISPIMG("ID_194B0ED21D694ADB9EB94585BE141CD6",1)</v>
      </c>
      <c r="E134" s="22">
        <v>0.97</v>
      </c>
      <c r="F134" s="5" t="s">
        <v>23</v>
      </c>
      <c r="G134" s="26">
        <v>1</v>
      </c>
      <c r="H134" s="5" t="s">
        <v>13</v>
      </c>
      <c r="I134" s="26" t="s">
        <v>259</v>
      </c>
      <c r="J134" s="5" t="s">
        <v>225</v>
      </c>
    </row>
    <row r="135" hidden="1" customHeight="1" spans="2:10">
      <c r="B135" s="5" t="s">
        <v>270</v>
      </c>
      <c r="C135" s="5" t="s">
        <v>271</v>
      </c>
      <c r="D135" s="2" t="str">
        <f>_xlfn.DISPIMG("ID_CB45C109264F4E1BB3F1CC747A5A6BF3",1)</f>
        <v>=DISPIMG("ID_CB45C109264F4E1BB3F1CC747A5A6BF3",1)</v>
      </c>
      <c r="E135" s="20">
        <v>0.97</v>
      </c>
      <c r="F135" s="5" t="s">
        <v>27</v>
      </c>
      <c r="G135" s="2">
        <v>1</v>
      </c>
      <c r="H135" s="5" t="s">
        <v>272</v>
      </c>
      <c r="I135" s="5" t="s">
        <v>273</v>
      </c>
      <c r="J135" s="5" t="s">
        <v>274</v>
      </c>
    </row>
    <row r="136" hidden="1" customHeight="1" spans="2:10">
      <c r="B136" s="30" t="s">
        <v>275</v>
      </c>
      <c r="C136" s="30" t="s">
        <v>276</v>
      </c>
      <c r="D136" s="30" t="e">
        <f>_xlfn.DISPIMG("ID_A46322EDF02F4A739EAA2B80821DC495",1)</f>
        <v>#REF!</v>
      </c>
      <c r="E136" s="34">
        <v>0.97</v>
      </c>
      <c r="F136" s="30" t="s">
        <v>45</v>
      </c>
      <c r="G136" s="30">
        <v>1</v>
      </c>
      <c r="H136" s="30"/>
      <c r="I136" s="32" t="s">
        <v>273</v>
      </c>
      <c r="J136" s="30" t="s">
        <v>277</v>
      </c>
    </row>
    <row r="137" hidden="1" customHeight="1" spans="2:10">
      <c r="B137" s="31" t="s">
        <v>278</v>
      </c>
      <c r="C137" s="31" t="s">
        <v>279</v>
      </c>
      <c r="D137" s="31" t="e">
        <f>_xlfn.DISPIMG("ID_F6BE32E548764115AA9AD94E97882FED",1)</f>
        <v>#REF!</v>
      </c>
      <c r="E137" s="35">
        <v>0.98</v>
      </c>
      <c r="F137" s="31" t="s">
        <v>75</v>
      </c>
      <c r="G137" s="31">
        <v>1</v>
      </c>
      <c r="H137" s="36" t="s">
        <v>272</v>
      </c>
      <c r="I137" s="32" t="s">
        <v>273</v>
      </c>
      <c r="J137" s="31" t="s">
        <v>280</v>
      </c>
    </row>
    <row r="138" hidden="1" customHeight="1" spans="2:10">
      <c r="B138" s="31" t="s">
        <v>281</v>
      </c>
      <c r="C138" s="31" t="s">
        <v>282</v>
      </c>
      <c r="D138" s="31" t="e">
        <f>_xlfn.DISPIMG("ID_2CFC2F3C7FC344BBB92048CD7BCA3DF6",1)</f>
        <v>#REF!</v>
      </c>
      <c r="E138" s="37">
        <v>0.9979</v>
      </c>
      <c r="F138" s="31" t="s">
        <v>23</v>
      </c>
      <c r="G138" s="31">
        <v>1</v>
      </c>
      <c r="H138" s="36" t="s">
        <v>272</v>
      </c>
      <c r="I138" s="32" t="s">
        <v>273</v>
      </c>
      <c r="J138" s="31" t="s">
        <v>280</v>
      </c>
    </row>
    <row r="139" hidden="1" customHeight="1" spans="2:10">
      <c r="B139" s="31" t="s">
        <v>283</v>
      </c>
      <c r="C139" s="31" t="s">
        <v>284</v>
      </c>
      <c r="D139" s="31" t="e">
        <f>_xlfn.DISPIMG("ID_A69659C06BB44798A66667058398EFB1",1)</f>
        <v>#REF!</v>
      </c>
      <c r="E139" s="37">
        <v>0.9751</v>
      </c>
      <c r="F139" s="31" t="s">
        <v>27</v>
      </c>
      <c r="G139" s="31">
        <v>1</v>
      </c>
      <c r="H139" s="36" t="s">
        <v>272</v>
      </c>
      <c r="I139" s="32" t="s">
        <v>273</v>
      </c>
      <c r="J139" s="31" t="s">
        <v>280</v>
      </c>
    </row>
    <row r="140" hidden="1" customHeight="1" spans="2:10">
      <c r="B140" s="31" t="s">
        <v>285</v>
      </c>
      <c r="C140" s="31" t="s">
        <v>286</v>
      </c>
      <c r="D140" s="31" t="e">
        <f>_xlfn.DISPIMG("ID_4427F5E152714B9DB83500F7A09E1348",1)</f>
        <v>#REF!</v>
      </c>
      <c r="E140" s="37">
        <v>0.9967</v>
      </c>
      <c r="F140" s="31" t="s">
        <v>27</v>
      </c>
      <c r="G140" s="31">
        <v>1</v>
      </c>
      <c r="H140" s="36" t="s">
        <v>272</v>
      </c>
      <c r="I140" s="32" t="s">
        <v>273</v>
      </c>
      <c r="J140" s="31" t="s">
        <v>280</v>
      </c>
    </row>
    <row r="141" hidden="1" customHeight="1" spans="2:10">
      <c r="B141" s="32" t="s">
        <v>287</v>
      </c>
      <c r="C141" s="31" t="s">
        <v>288</v>
      </c>
      <c r="D141" s="30" t="e">
        <f>_xlfn.DISPIMG("ID_BD247701DF8A47B09F039647ADE8BF4C",1)</f>
        <v>#REF!</v>
      </c>
      <c r="E141" s="35">
        <v>0.98</v>
      </c>
      <c r="F141" s="31" t="s">
        <v>75</v>
      </c>
      <c r="G141" s="31">
        <v>1</v>
      </c>
      <c r="H141" s="36" t="s">
        <v>272</v>
      </c>
      <c r="I141" s="32" t="s">
        <v>273</v>
      </c>
      <c r="J141" s="31" t="s">
        <v>280</v>
      </c>
    </row>
    <row r="142" hidden="1" customHeight="1" spans="2:10">
      <c r="B142" s="32" t="s">
        <v>289</v>
      </c>
      <c r="C142" s="31" t="s">
        <v>290</v>
      </c>
      <c r="D142" s="31" t="e">
        <f>_xlfn.DISPIMG("ID_4493EFD0B6024EF8BDCCFCCCED7E9B3A",1)</f>
        <v>#REF!</v>
      </c>
      <c r="E142" s="35">
        <v>0.96</v>
      </c>
      <c r="F142" s="31" t="s">
        <v>23</v>
      </c>
      <c r="G142" s="31">
        <v>1</v>
      </c>
      <c r="H142" s="36" t="s">
        <v>272</v>
      </c>
      <c r="I142" s="32" t="s">
        <v>273</v>
      </c>
      <c r="J142" s="31" t="s">
        <v>280</v>
      </c>
    </row>
    <row r="143" hidden="1" customHeight="1" spans="2:10">
      <c r="B143" s="32" t="s">
        <v>291</v>
      </c>
      <c r="C143" s="31" t="s">
        <v>292</v>
      </c>
      <c r="D143" s="31" t="e">
        <f>_xlfn.DISPIMG("ID_1E12D4AC4383460289FA4E2757927ADF",1)</f>
        <v>#REF!</v>
      </c>
      <c r="E143" s="31"/>
      <c r="F143" s="31" t="s">
        <v>68</v>
      </c>
      <c r="G143" s="31">
        <v>1</v>
      </c>
      <c r="H143" s="36" t="s">
        <v>272</v>
      </c>
      <c r="I143" s="32" t="s">
        <v>273</v>
      </c>
      <c r="J143" s="31" t="s">
        <v>280</v>
      </c>
    </row>
    <row r="144" hidden="1" customHeight="1" spans="2:10">
      <c r="B144" s="32" t="s">
        <v>293</v>
      </c>
      <c r="C144" s="31" t="s">
        <v>53</v>
      </c>
      <c r="D144" s="33"/>
      <c r="E144" s="31">
        <v>0.99</v>
      </c>
      <c r="F144" s="31" t="s">
        <v>175</v>
      </c>
      <c r="G144" s="31">
        <v>1</v>
      </c>
      <c r="H144" s="36" t="s">
        <v>272</v>
      </c>
      <c r="I144" s="32" t="s">
        <v>273</v>
      </c>
      <c r="J144" s="31" t="s">
        <v>280</v>
      </c>
    </row>
    <row r="145" hidden="1" customHeight="1" spans="2:10">
      <c r="B145" s="31" t="s">
        <v>294</v>
      </c>
      <c r="C145" s="31" t="s">
        <v>112</v>
      </c>
      <c r="D145" s="31" t="e">
        <f>_xlfn.DISPIMG("ID_20B369C8A9254304B0CDC141DFA46B30",1)</f>
        <v>#REF!</v>
      </c>
      <c r="E145" s="35">
        <v>0.98</v>
      </c>
      <c r="F145" s="31" t="s">
        <v>23</v>
      </c>
      <c r="G145" s="31">
        <v>1</v>
      </c>
      <c r="H145" s="36" t="s">
        <v>272</v>
      </c>
      <c r="I145" s="32" t="s">
        <v>273</v>
      </c>
      <c r="J145" s="31" t="s">
        <v>280</v>
      </c>
    </row>
    <row r="146" hidden="1" customHeight="1" spans="2:10">
      <c r="B146" s="31" t="s">
        <v>295</v>
      </c>
      <c r="C146" s="31" t="s">
        <v>144</v>
      </c>
      <c r="D146" s="31" t="e">
        <f>_xlfn.DISPIMG("ID_A14DFB6F70BA4C468F064C7DCF8EBEFE",1)</f>
        <v>#REF!</v>
      </c>
      <c r="E146" s="35">
        <v>0.98</v>
      </c>
      <c r="F146" s="31" t="s">
        <v>45</v>
      </c>
      <c r="G146" s="31">
        <v>1</v>
      </c>
      <c r="H146" s="36" t="s">
        <v>272</v>
      </c>
      <c r="I146" s="32" t="s">
        <v>273</v>
      </c>
      <c r="J146" s="31" t="s">
        <v>280</v>
      </c>
    </row>
    <row r="147" hidden="1" customHeight="1" spans="2:10">
      <c r="B147" s="31" t="s">
        <v>296</v>
      </c>
      <c r="C147" s="31" t="s">
        <v>297</v>
      </c>
      <c r="D147" s="31" t="e">
        <f>_xlfn.DISPIMG("ID_3B50AB4165344D30B5A8A6BAABE173F8",1)</f>
        <v>#REF!</v>
      </c>
      <c r="E147" s="35">
        <v>0.99</v>
      </c>
      <c r="F147" s="31" t="s">
        <v>45</v>
      </c>
      <c r="G147" s="31">
        <v>1</v>
      </c>
      <c r="H147" s="36" t="s">
        <v>272</v>
      </c>
      <c r="I147" s="32" t="s">
        <v>273</v>
      </c>
      <c r="J147" s="31" t="s">
        <v>280</v>
      </c>
    </row>
    <row r="148" hidden="1" customHeight="1" spans="2:10">
      <c r="B148" s="31" t="s">
        <v>298</v>
      </c>
      <c r="C148" s="31" t="s">
        <v>96</v>
      </c>
      <c r="D148" s="31" t="e">
        <f>_xlfn.DISPIMG("ID_AEE577217C1E4B01ADD84E445F4864E0",1)</f>
        <v>#REF!</v>
      </c>
      <c r="E148" s="37">
        <v>0.9839</v>
      </c>
      <c r="F148" s="31" t="s">
        <v>23</v>
      </c>
      <c r="G148" s="31">
        <v>1</v>
      </c>
      <c r="H148" s="36" t="s">
        <v>272</v>
      </c>
      <c r="I148" s="32" t="s">
        <v>273</v>
      </c>
      <c r="J148" s="31" t="s">
        <v>280</v>
      </c>
    </row>
    <row r="149" hidden="1" customHeight="1" spans="2:10">
      <c r="B149" s="32" t="s">
        <v>299</v>
      </c>
      <c r="C149" s="31" t="s">
        <v>103</v>
      </c>
      <c r="D149" s="31" t="e">
        <f>_xlfn.DISPIMG("ID_47899A7F9FE54AE7AC91A4C13F7A445C",1)</f>
        <v>#REF!</v>
      </c>
      <c r="E149" s="35">
        <v>0.98</v>
      </c>
      <c r="F149" s="31" t="s">
        <v>50</v>
      </c>
      <c r="G149" s="31">
        <v>1</v>
      </c>
      <c r="H149" s="32" t="s">
        <v>272</v>
      </c>
      <c r="I149" s="32" t="s">
        <v>273</v>
      </c>
      <c r="J149" s="31" t="s">
        <v>280</v>
      </c>
    </row>
    <row r="150" hidden="1" customHeight="1" spans="2:10">
      <c r="B150" s="31" t="s">
        <v>300</v>
      </c>
      <c r="C150" s="31" t="s">
        <v>301</v>
      </c>
      <c r="D150" s="31" t="e">
        <f>_xlfn.DISPIMG("ID_009F72CAB6104421AF55D35B19D406FB",1)</f>
        <v>#REF!</v>
      </c>
      <c r="E150" s="35">
        <v>0.98</v>
      </c>
      <c r="F150" s="31" t="s">
        <v>23</v>
      </c>
      <c r="G150" s="31">
        <v>1</v>
      </c>
      <c r="H150" s="32" t="s">
        <v>272</v>
      </c>
      <c r="I150" s="32" t="s">
        <v>273</v>
      </c>
      <c r="J150" s="31" t="s">
        <v>280</v>
      </c>
    </row>
    <row r="151" hidden="1" customHeight="1" spans="2:10">
      <c r="B151" s="31" t="s">
        <v>302</v>
      </c>
      <c r="C151" s="31" t="s">
        <v>86</v>
      </c>
      <c r="D151" s="31" t="e">
        <f>_xlfn.DISPIMG("ID_BB725166F4CB4A77B480A9A72829168F",1)</f>
        <v>#REF!</v>
      </c>
      <c r="E151" s="35">
        <v>0.97</v>
      </c>
      <c r="F151" s="31" t="s">
        <v>23</v>
      </c>
      <c r="G151" s="31">
        <v>1</v>
      </c>
      <c r="H151" s="32" t="s">
        <v>272</v>
      </c>
      <c r="I151" s="32" t="s">
        <v>273</v>
      </c>
      <c r="J151" s="31" t="s">
        <v>280</v>
      </c>
    </row>
    <row r="152" hidden="1" customHeight="1" spans="2:10">
      <c r="B152" s="31" t="s">
        <v>303</v>
      </c>
      <c r="C152" s="31" t="s">
        <v>304</v>
      </c>
      <c r="D152" s="31" t="e">
        <f>_xlfn.DISPIMG("ID_B3FA76CD65144491A39AC356859DC660",1)</f>
        <v>#REF!</v>
      </c>
      <c r="E152" s="35">
        <v>0.99</v>
      </c>
      <c r="F152" s="31" t="s">
        <v>23</v>
      </c>
      <c r="G152" s="31">
        <v>1</v>
      </c>
      <c r="H152" s="32" t="s">
        <v>272</v>
      </c>
      <c r="I152" s="32" t="s">
        <v>273</v>
      </c>
      <c r="J152" s="31" t="s">
        <v>305</v>
      </c>
    </row>
    <row r="153" hidden="1" customHeight="1" spans="2:10">
      <c r="B153" s="32" t="s">
        <v>299</v>
      </c>
      <c r="C153" s="31" t="s">
        <v>103</v>
      </c>
      <c r="D153" s="31" t="e">
        <f>_xlfn.DISPIMG("ID_D0D5350B344545EDA2179C5B9BBC8504",1)</f>
        <v>#REF!</v>
      </c>
      <c r="E153" s="35">
        <v>0.99</v>
      </c>
      <c r="F153" s="31" t="s">
        <v>175</v>
      </c>
      <c r="G153" s="31">
        <v>1</v>
      </c>
      <c r="H153" s="36" t="s">
        <v>272</v>
      </c>
      <c r="I153" s="32" t="s">
        <v>273</v>
      </c>
      <c r="J153" s="31" t="s">
        <v>305</v>
      </c>
    </row>
    <row r="154" hidden="1" customHeight="1" spans="2:10">
      <c r="B154" s="32" t="s">
        <v>306</v>
      </c>
      <c r="C154" s="31" t="s">
        <v>307</v>
      </c>
      <c r="D154" s="31" t="str">
        <f>_xlfn.DISPIMG("ID_E61B0B75C7DD445492D5B807DAC2E92A",1)</f>
        <v>=DISPIMG("ID_E61B0B75C7DD445492D5B807DAC2E92A",1)</v>
      </c>
      <c r="E154" s="35">
        <v>0.99</v>
      </c>
      <c r="F154" s="31" t="s">
        <v>161</v>
      </c>
      <c r="G154" s="31">
        <v>1</v>
      </c>
      <c r="H154" s="36" t="s">
        <v>272</v>
      </c>
      <c r="I154" s="32" t="s">
        <v>273</v>
      </c>
      <c r="J154" s="31" t="s">
        <v>308</v>
      </c>
    </row>
    <row r="155" hidden="1" customHeight="1" spans="2:10">
      <c r="B155" s="32" t="s">
        <v>309</v>
      </c>
      <c r="C155" s="31" t="s">
        <v>72</v>
      </c>
      <c r="D155" s="31" t="e">
        <f>_xlfn.DISPIMG("ID_76464DA6D04645C499EA2E7BAEB8879D",1)</f>
        <v>#REF!</v>
      </c>
      <c r="E155" s="37">
        <v>0.997</v>
      </c>
      <c r="F155" s="31" t="s">
        <v>124</v>
      </c>
      <c r="G155" s="31">
        <v>1</v>
      </c>
      <c r="H155" s="36" t="s">
        <v>272</v>
      </c>
      <c r="I155" s="32" t="s">
        <v>273</v>
      </c>
      <c r="J155" s="31" t="s">
        <v>305</v>
      </c>
    </row>
    <row r="156" hidden="1" customHeight="1" spans="2:10">
      <c r="B156" s="32" t="s">
        <v>310</v>
      </c>
      <c r="C156" s="31" t="s">
        <v>311</v>
      </c>
      <c r="D156" s="30" t="e">
        <f>_xlfn.DISPIMG("ID_8C9CFB43D9984F62B18D039F0C273B8B",1)</f>
        <v>#REF!</v>
      </c>
      <c r="E156" s="35">
        <v>0.99</v>
      </c>
      <c r="F156" s="31" t="s">
        <v>75</v>
      </c>
      <c r="G156" s="31">
        <v>1</v>
      </c>
      <c r="H156" s="36" t="s">
        <v>272</v>
      </c>
      <c r="I156" s="32" t="s">
        <v>273</v>
      </c>
      <c r="J156" s="31" t="s">
        <v>305</v>
      </c>
    </row>
    <row r="157" hidden="1" customHeight="1" spans="2:10">
      <c r="B157" s="32" t="s">
        <v>312</v>
      </c>
      <c r="C157" s="31" t="s">
        <v>313</v>
      </c>
      <c r="D157" s="31" t="e">
        <f>_xlfn.DISPIMG("ID_EFF2F1C0A9A94787804155AF3B8B2398",1)</f>
        <v>#REF!</v>
      </c>
      <c r="E157" s="35">
        <v>0.99</v>
      </c>
      <c r="F157" s="31" t="s">
        <v>45</v>
      </c>
      <c r="G157" s="31">
        <v>1</v>
      </c>
      <c r="H157" s="36" t="s">
        <v>272</v>
      </c>
      <c r="I157" s="32" t="s">
        <v>273</v>
      </c>
      <c r="J157" s="31" t="s">
        <v>305</v>
      </c>
    </row>
    <row r="158" hidden="1" customHeight="1" spans="2:10">
      <c r="B158" s="31" t="s">
        <v>314</v>
      </c>
      <c r="C158" s="31" t="s">
        <v>315</v>
      </c>
      <c r="D158" s="31" t="e">
        <f>_xlfn.DISPIMG("ID_1AB475D2CD2D4372BEFBF786B8BA0B3A",1)</f>
        <v>#REF!</v>
      </c>
      <c r="E158" s="35">
        <v>0.98</v>
      </c>
      <c r="F158" s="31" t="s">
        <v>50</v>
      </c>
      <c r="G158" s="31">
        <v>1</v>
      </c>
      <c r="H158" s="36" t="s">
        <v>272</v>
      </c>
      <c r="I158" s="32" t="s">
        <v>273</v>
      </c>
      <c r="J158" s="31" t="s">
        <v>316</v>
      </c>
    </row>
    <row r="159" hidden="1" customHeight="1" spans="2:10">
      <c r="B159" s="32" t="s">
        <v>317</v>
      </c>
      <c r="C159" s="31" t="s">
        <v>318</v>
      </c>
      <c r="D159" s="31" t="e">
        <f>_xlfn.DISPIMG("ID_CF7AEF2E37A7450D956B4704956F48F5",1)</f>
        <v>#REF!</v>
      </c>
      <c r="E159" s="35">
        <v>0.98</v>
      </c>
      <c r="F159" s="31" t="s">
        <v>124</v>
      </c>
      <c r="G159" s="31">
        <v>1</v>
      </c>
      <c r="H159" s="36" t="s">
        <v>272</v>
      </c>
      <c r="I159" s="32" t="s">
        <v>273</v>
      </c>
      <c r="J159" s="31" t="s">
        <v>319</v>
      </c>
    </row>
    <row r="160" hidden="1" customHeight="1" spans="2:10">
      <c r="B160" s="31" t="s">
        <v>320</v>
      </c>
      <c r="C160" s="31" t="s">
        <v>321</v>
      </c>
      <c r="D160" s="31" t="str">
        <f>_xlfn.DISPIMG("ID_2611942B271F4361B5552DEAD9C6205A",1)</f>
        <v>=DISPIMG("ID_2611942B271F4361B5552DEAD9C6205A",1)</v>
      </c>
      <c r="E160" s="35">
        <v>0.98</v>
      </c>
      <c r="F160" s="31" t="s">
        <v>45</v>
      </c>
      <c r="G160" s="31">
        <v>1</v>
      </c>
      <c r="H160" s="36" t="s">
        <v>272</v>
      </c>
      <c r="I160" s="32" t="s">
        <v>273</v>
      </c>
      <c r="J160" s="31" t="s">
        <v>316</v>
      </c>
    </row>
    <row r="161" hidden="1" customHeight="1" spans="2:10">
      <c r="B161" s="31" t="s">
        <v>322</v>
      </c>
      <c r="C161" s="31" t="s">
        <v>323</v>
      </c>
      <c r="D161" s="31" t="e">
        <f>_xlfn.DISPIMG("ID_B21DEB213B3C4A0B80743E3EC875F574",1)</f>
        <v>#REF!</v>
      </c>
      <c r="E161" s="35">
        <v>0.99</v>
      </c>
      <c r="F161" s="31" t="s">
        <v>45</v>
      </c>
      <c r="G161" s="31">
        <v>1</v>
      </c>
      <c r="H161" s="36" t="s">
        <v>272</v>
      </c>
      <c r="I161" s="32" t="s">
        <v>273</v>
      </c>
      <c r="J161" s="31" t="s">
        <v>316</v>
      </c>
    </row>
    <row r="162" hidden="1" customHeight="1" spans="2:10">
      <c r="B162" s="31" t="s">
        <v>324</v>
      </c>
      <c r="C162" s="31" t="s">
        <v>325</v>
      </c>
      <c r="D162" s="31" t="e">
        <f>_xlfn.DISPIMG("ID_274287AC5AFF49A881C96462D8D2070B",1)</f>
        <v>#REF!</v>
      </c>
      <c r="E162" s="35">
        <v>0.99</v>
      </c>
      <c r="F162" s="31" t="s">
        <v>50</v>
      </c>
      <c r="G162" s="31">
        <v>1</v>
      </c>
      <c r="H162" s="36" t="s">
        <v>272</v>
      </c>
      <c r="I162" s="32" t="s">
        <v>273</v>
      </c>
      <c r="J162" s="31" t="s">
        <v>316</v>
      </c>
    </row>
    <row r="163" hidden="1" customHeight="1" spans="2:10">
      <c r="B163" s="31" t="s">
        <v>326</v>
      </c>
      <c r="C163" s="31" t="s">
        <v>327</v>
      </c>
      <c r="D163" s="31" t="e">
        <f>_xlfn.DISPIMG("ID_70408DD36A4644339FEC8140B1ED5B1B",1)</f>
        <v>#REF!</v>
      </c>
      <c r="E163" s="35">
        <v>0.98</v>
      </c>
      <c r="F163" s="31" t="s">
        <v>45</v>
      </c>
      <c r="G163" s="31">
        <v>1</v>
      </c>
      <c r="H163" s="36" t="s">
        <v>272</v>
      </c>
      <c r="I163" s="32" t="s">
        <v>273</v>
      </c>
      <c r="J163" s="31" t="s">
        <v>316</v>
      </c>
    </row>
    <row r="164" hidden="1" customHeight="1" spans="2:10">
      <c r="B164" s="32" t="s">
        <v>328</v>
      </c>
      <c r="C164" s="31" t="s">
        <v>329</v>
      </c>
      <c r="D164" s="31" t="e">
        <f>_xlfn.DISPIMG("ID_B4E86CF9DDEA4212A1959B2BF8073614",1)</f>
        <v>#REF!</v>
      </c>
      <c r="E164" s="35">
        <v>0.98</v>
      </c>
      <c r="F164" s="31" t="s">
        <v>50</v>
      </c>
      <c r="G164" s="31">
        <v>1</v>
      </c>
      <c r="H164" s="36" t="s">
        <v>272</v>
      </c>
      <c r="I164" s="32" t="s">
        <v>273</v>
      </c>
      <c r="J164" s="31" t="s">
        <v>316</v>
      </c>
    </row>
    <row r="165" hidden="1" customHeight="1" spans="2:10">
      <c r="B165" s="32" t="s">
        <v>330</v>
      </c>
      <c r="C165" s="31" t="s">
        <v>200</v>
      </c>
      <c r="D165" s="31" t="e">
        <f>_xlfn.DISPIMG("ID_038A81C88A784A0C81E369DED4872E15",1)</f>
        <v>#REF!</v>
      </c>
      <c r="E165" s="35">
        <v>0.99</v>
      </c>
      <c r="F165" s="31" t="s">
        <v>45</v>
      </c>
      <c r="G165" s="31">
        <v>1</v>
      </c>
      <c r="H165" s="36" t="s">
        <v>272</v>
      </c>
      <c r="I165" s="32" t="s">
        <v>273</v>
      </c>
      <c r="J165" s="31" t="s">
        <v>316</v>
      </c>
    </row>
    <row r="166" hidden="1" customHeight="1" spans="2:10">
      <c r="B166" s="31" t="s">
        <v>331</v>
      </c>
      <c r="C166" s="31" t="s">
        <v>332</v>
      </c>
      <c r="D166" s="31" t="e">
        <f>_xlfn.DISPIMG("ID_5E990BB51C454FC1B398544D472CE92B",1)</f>
        <v>#REF!</v>
      </c>
      <c r="E166" s="35">
        <v>0.98</v>
      </c>
      <c r="F166" s="31" t="s">
        <v>45</v>
      </c>
      <c r="G166" s="31">
        <v>1</v>
      </c>
      <c r="H166" s="36" t="s">
        <v>272</v>
      </c>
      <c r="I166" s="32" t="s">
        <v>273</v>
      </c>
      <c r="J166" s="31" t="s">
        <v>316</v>
      </c>
    </row>
    <row r="167" hidden="1" customHeight="1" spans="2:10">
      <c r="B167" s="31" t="s">
        <v>333</v>
      </c>
      <c r="C167" s="31" t="s">
        <v>334</v>
      </c>
      <c r="D167" s="31" t="e">
        <f>_xlfn.DISPIMG("ID_751B7547AEE54BFA964DEB8B86BF158D",1)</f>
        <v>#REF!</v>
      </c>
      <c r="E167" s="35">
        <v>0.98</v>
      </c>
      <c r="F167" s="31" t="s">
        <v>23</v>
      </c>
      <c r="G167" s="31">
        <v>1</v>
      </c>
      <c r="H167" s="36" t="s">
        <v>272</v>
      </c>
      <c r="I167" s="32" t="s">
        <v>273</v>
      </c>
      <c r="J167" s="31" t="s">
        <v>316</v>
      </c>
    </row>
    <row r="168" hidden="1" customHeight="1" spans="2:10">
      <c r="B168" s="31" t="s">
        <v>335</v>
      </c>
      <c r="C168" s="31" t="s">
        <v>70</v>
      </c>
      <c r="D168" s="31" t="e">
        <f>_xlfn.DISPIMG("ID_B34D370E033A4A4488E352E457DCA9E5",1)</f>
        <v>#REF!</v>
      </c>
      <c r="E168" s="35">
        <v>0.98</v>
      </c>
      <c r="F168" s="31" t="s">
        <v>23</v>
      </c>
      <c r="G168" s="31">
        <v>1</v>
      </c>
      <c r="H168" s="36" t="s">
        <v>272</v>
      </c>
      <c r="I168" s="32" t="s">
        <v>273</v>
      </c>
      <c r="J168" s="31" t="s">
        <v>316</v>
      </c>
    </row>
    <row r="169" hidden="1" customHeight="1" spans="2:10">
      <c r="B169" s="31" t="s">
        <v>336</v>
      </c>
      <c r="C169" s="31" t="s">
        <v>337</v>
      </c>
      <c r="D169" s="31" t="e">
        <f>_xlfn.DISPIMG("ID_5F811D4CA2A14A6E85AAC8FBF858D9E8",1)</f>
        <v>#REF!</v>
      </c>
      <c r="E169" s="35">
        <v>0.98</v>
      </c>
      <c r="F169" s="31" t="s">
        <v>23</v>
      </c>
      <c r="G169" s="31">
        <v>1</v>
      </c>
      <c r="H169" s="36" t="s">
        <v>272</v>
      </c>
      <c r="I169" s="32" t="s">
        <v>273</v>
      </c>
      <c r="J169" s="31" t="s">
        <v>316</v>
      </c>
    </row>
    <row r="170" hidden="1" customHeight="1" spans="2:10">
      <c r="B170" s="31" t="s">
        <v>338</v>
      </c>
      <c r="C170" s="31" t="s">
        <v>339</v>
      </c>
      <c r="D170" s="31" t="e">
        <f>_xlfn.DISPIMG("ID_4A7E8B0CD7D643BAA38BC29A566B4F24",1)</f>
        <v>#REF!</v>
      </c>
      <c r="E170" s="35">
        <v>0.98</v>
      </c>
      <c r="F170" s="31" t="s">
        <v>23</v>
      </c>
      <c r="G170" s="31">
        <v>1</v>
      </c>
      <c r="H170" s="36" t="s">
        <v>272</v>
      </c>
      <c r="I170" s="32" t="s">
        <v>273</v>
      </c>
      <c r="J170" s="31" t="s">
        <v>316</v>
      </c>
    </row>
    <row r="171" hidden="1" customHeight="1" spans="2:10">
      <c r="B171" s="31" t="s">
        <v>338</v>
      </c>
      <c r="C171" s="31" t="s">
        <v>339</v>
      </c>
      <c r="D171" s="31" t="e">
        <f>_xlfn.DISPIMG("ID_5250B0FEF73D4B328D19F9A6D5544C17",1)</f>
        <v>#REF!</v>
      </c>
      <c r="E171" s="35">
        <v>0.97</v>
      </c>
      <c r="F171" s="31" t="s">
        <v>27</v>
      </c>
      <c r="G171" s="31">
        <v>1</v>
      </c>
      <c r="H171" s="36" t="s">
        <v>272</v>
      </c>
      <c r="I171" s="32" t="s">
        <v>273</v>
      </c>
      <c r="J171" s="31" t="s">
        <v>316</v>
      </c>
    </row>
    <row r="172" hidden="1" customHeight="1" spans="2:10">
      <c r="B172" s="31" t="s">
        <v>340</v>
      </c>
      <c r="C172" s="31" t="s">
        <v>341</v>
      </c>
      <c r="D172" s="31" t="e">
        <f>_xlfn.DISPIMG("ID_CC36B9C96AF14037BB847CE3975C90E1",1)</f>
        <v>#REF!</v>
      </c>
      <c r="E172" s="35">
        <v>0.98</v>
      </c>
      <c r="F172" s="31" t="s">
        <v>23</v>
      </c>
      <c r="G172" s="31">
        <v>1</v>
      </c>
      <c r="H172" s="36" t="s">
        <v>272</v>
      </c>
      <c r="I172" s="32" t="s">
        <v>273</v>
      </c>
      <c r="J172" s="31" t="s">
        <v>316</v>
      </c>
    </row>
    <row r="173" hidden="1" customHeight="1" spans="2:10">
      <c r="B173" s="31" t="s">
        <v>342</v>
      </c>
      <c r="C173" s="31" t="s">
        <v>343</v>
      </c>
      <c r="D173" s="31" t="e">
        <f>_xlfn.DISPIMG("ID_78F54D7E46504260BDF066B556E0AC56",1)</f>
        <v>#REF!</v>
      </c>
      <c r="E173" s="35">
        <v>0.98</v>
      </c>
      <c r="F173" s="31" t="s">
        <v>23</v>
      </c>
      <c r="G173" s="31">
        <v>1</v>
      </c>
      <c r="H173" s="36" t="s">
        <v>272</v>
      </c>
      <c r="I173" s="32" t="s">
        <v>273</v>
      </c>
      <c r="J173" s="31" t="s">
        <v>316</v>
      </c>
    </row>
    <row r="174" hidden="1" customHeight="1" spans="2:10">
      <c r="B174" s="31" t="s">
        <v>336</v>
      </c>
      <c r="C174" s="31" t="s">
        <v>337</v>
      </c>
      <c r="D174" s="31" t="e">
        <f>_xlfn.DISPIMG("ID_FCCD71FC990B46ECA7E1214C1C39CB3C",1)</f>
        <v>#REF!</v>
      </c>
      <c r="E174" s="35">
        <v>0.98</v>
      </c>
      <c r="F174" s="31" t="s">
        <v>23</v>
      </c>
      <c r="G174" s="31">
        <v>1</v>
      </c>
      <c r="H174" s="36" t="s">
        <v>272</v>
      </c>
      <c r="I174" s="32" t="s">
        <v>273</v>
      </c>
      <c r="J174" s="31" t="s">
        <v>316</v>
      </c>
    </row>
    <row r="175" hidden="1" customHeight="1" spans="2:10">
      <c r="B175" s="31" t="s">
        <v>335</v>
      </c>
      <c r="C175" s="31" t="s">
        <v>70</v>
      </c>
      <c r="D175" s="31" t="e">
        <f>_xlfn.DISPIMG("ID_12AA35A2C2F24DFE84C7EE121B6544C5",1)</f>
        <v>#REF!</v>
      </c>
      <c r="E175" s="35">
        <v>0.98</v>
      </c>
      <c r="F175" s="31" t="s">
        <v>23</v>
      </c>
      <c r="G175" s="31">
        <v>1</v>
      </c>
      <c r="H175" s="36" t="s">
        <v>272</v>
      </c>
      <c r="I175" s="32" t="s">
        <v>273</v>
      </c>
      <c r="J175" s="31" t="s">
        <v>316</v>
      </c>
    </row>
    <row r="176" hidden="1" customHeight="1" spans="2:10">
      <c r="B176" s="31" t="s">
        <v>344</v>
      </c>
      <c r="C176" s="31" t="s">
        <v>345</v>
      </c>
      <c r="D176" s="31" t="e">
        <f>_xlfn.DISPIMG("ID_0B140E3C01694F10A03E632BF1C061D6",1)</f>
        <v>#REF!</v>
      </c>
      <c r="E176" s="35">
        <v>0.98</v>
      </c>
      <c r="F176" s="31" t="s">
        <v>346</v>
      </c>
      <c r="G176" s="31">
        <v>2</v>
      </c>
      <c r="H176" s="36" t="s">
        <v>272</v>
      </c>
      <c r="I176" s="32" t="s">
        <v>273</v>
      </c>
      <c r="J176" s="31" t="s">
        <v>316</v>
      </c>
    </row>
    <row r="177" hidden="1" customHeight="1" spans="2:10">
      <c r="B177" s="32" t="s">
        <v>347</v>
      </c>
      <c r="C177" s="31" t="s">
        <v>348</v>
      </c>
      <c r="D177" s="31" t="e">
        <f>_xlfn.DISPIMG("ID_067D91A785D24542B078B2B4D823A24F",1)</f>
        <v>#REF!</v>
      </c>
      <c r="E177" s="35">
        <v>0.99</v>
      </c>
      <c r="F177" s="31" t="s">
        <v>50</v>
      </c>
      <c r="G177" s="31">
        <v>1</v>
      </c>
      <c r="H177" s="36" t="s">
        <v>272</v>
      </c>
      <c r="I177" s="32" t="s">
        <v>273</v>
      </c>
      <c r="J177" s="31" t="s">
        <v>316</v>
      </c>
    </row>
    <row r="178" hidden="1" customHeight="1" spans="2:10">
      <c r="B178" s="32" t="s">
        <v>349</v>
      </c>
      <c r="C178" s="31" t="s">
        <v>350</v>
      </c>
      <c r="D178" s="31" t="e">
        <f>_xlfn.DISPIMG("ID_8B433F666D114B449D39D602C71E3852",1)</f>
        <v>#REF!</v>
      </c>
      <c r="E178" s="35">
        <v>0.99</v>
      </c>
      <c r="F178" s="31" t="s">
        <v>147</v>
      </c>
      <c r="G178" s="31">
        <v>1</v>
      </c>
      <c r="H178" s="36" t="s">
        <v>272</v>
      </c>
      <c r="I178" s="32" t="s">
        <v>273</v>
      </c>
      <c r="J178" s="31" t="s">
        <v>319</v>
      </c>
    </row>
    <row r="179" hidden="1" customHeight="1" spans="2:10">
      <c r="B179" s="31" t="s">
        <v>295</v>
      </c>
      <c r="C179" s="31" t="s">
        <v>144</v>
      </c>
      <c r="D179" s="31" t="e">
        <f>_xlfn.DISPIMG("ID_CDCF05F54BF246FB9D379ADCF5E66F83",1)</f>
        <v>#REF!</v>
      </c>
      <c r="E179" s="35">
        <v>0.98</v>
      </c>
      <c r="F179" s="31" t="s">
        <v>45</v>
      </c>
      <c r="G179" s="31">
        <v>1</v>
      </c>
      <c r="H179" s="36" t="s">
        <v>272</v>
      </c>
      <c r="I179" s="32" t="s">
        <v>273</v>
      </c>
      <c r="J179" s="31" t="s">
        <v>316</v>
      </c>
    </row>
    <row r="180" hidden="1" customHeight="1" spans="2:10">
      <c r="B180" s="31" t="s">
        <v>351</v>
      </c>
      <c r="C180" s="31" t="s">
        <v>352</v>
      </c>
      <c r="D180" s="31" t="e">
        <f>_xlfn.DISPIMG("ID_C46834F916514D5BBBFDBB2A4E720E31",1)</f>
        <v>#REF!</v>
      </c>
      <c r="E180" s="35">
        <v>0.98</v>
      </c>
      <c r="F180" s="31" t="s">
        <v>23</v>
      </c>
      <c r="G180" s="31">
        <v>1</v>
      </c>
      <c r="H180" s="36" t="s">
        <v>272</v>
      </c>
      <c r="I180" s="32" t="s">
        <v>273</v>
      </c>
      <c r="J180" s="31" t="s">
        <v>316</v>
      </c>
    </row>
    <row r="181" hidden="1" customHeight="1" spans="2:10">
      <c r="B181" s="31" t="s">
        <v>353</v>
      </c>
      <c r="C181" s="31" t="s">
        <v>90</v>
      </c>
      <c r="D181" s="31" t="e">
        <f>_xlfn.DISPIMG("ID_55E1EB4C6A5847908417F86E9F5E958D",1)</f>
        <v>#REF!</v>
      </c>
      <c r="E181" s="37">
        <v>0.996</v>
      </c>
      <c r="F181" s="31" t="s">
        <v>27</v>
      </c>
      <c r="G181" s="31">
        <v>1</v>
      </c>
      <c r="H181" s="36" t="s">
        <v>272</v>
      </c>
      <c r="I181" s="32" t="s">
        <v>273</v>
      </c>
      <c r="J181" s="31" t="s">
        <v>316</v>
      </c>
    </row>
    <row r="182" hidden="1" customHeight="1" spans="2:10">
      <c r="B182" s="31" t="s">
        <v>354</v>
      </c>
      <c r="C182" s="31" t="s">
        <v>355</v>
      </c>
      <c r="D182" s="31" t="e">
        <f>_xlfn.DISPIMG("ID_986F794DB4EA46489EC4051832264BD9",1)</f>
        <v>#REF!</v>
      </c>
      <c r="E182" s="37">
        <v>0.9974</v>
      </c>
      <c r="F182" s="31" t="s">
        <v>27</v>
      </c>
      <c r="G182" s="31">
        <v>1</v>
      </c>
      <c r="H182" s="36" t="s">
        <v>272</v>
      </c>
      <c r="I182" s="32" t="s">
        <v>273</v>
      </c>
      <c r="J182" s="31" t="s">
        <v>316</v>
      </c>
    </row>
    <row r="183" hidden="1" customHeight="1" spans="2:10">
      <c r="B183" s="31" t="s">
        <v>354</v>
      </c>
      <c r="C183" s="31" t="s">
        <v>355</v>
      </c>
      <c r="D183" s="31" t="e">
        <f>_xlfn.DISPIMG("ID_9DD38BB35E1B496388B7E6050080B1ED",1)</f>
        <v>#REF!</v>
      </c>
      <c r="E183" s="35">
        <v>0.97</v>
      </c>
      <c r="F183" s="31" t="s">
        <v>27</v>
      </c>
      <c r="G183" s="31">
        <v>1</v>
      </c>
      <c r="H183" s="36" t="s">
        <v>272</v>
      </c>
      <c r="I183" s="32" t="s">
        <v>273</v>
      </c>
      <c r="J183" s="31" t="s">
        <v>316</v>
      </c>
    </row>
    <row r="184" hidden="1" customHeight="1" spans="2:10">
      <c r="B184" s="31" t="s">
        <v>353</v>
      </c>
      <c r="C184" s="31" t="s">
        <v>90</v>
      </c>
      <c r="D184" s="31" t="e">
        <f>_xlfn.DISPIMG("ID_16FC8DADE82E4F33A609CB731AC00378",1)</f>
        <v>#REF!</v>
      </c>
      <c r="E184" s="35">
        <v>0.98</v>
      </c>
      <c r="F184" s="31" t="s">
        <v>27</v>
      </c>
      <c r="G184" s="31">
        <v>1</v>
      </c>
      <c r="H184" s="36" t="s">
        <v>272</v>
      </c>
      <c r="I184" s="32" t="s">
        <v>273</v>
      </c>
      <c r="J184" s="31" t="s">
        <v>316</v>
      </c>
    </row>
    <row r="185" hidden="1" customHeight="1" spans="2:10">
      <c r="B185" s="31" t="s">
        <v>356</v>
      </c>
      <c r="C185" s="31" t="s">
        <v>357</v>
      </c>
      <c r="D185" s="31" t="e">
        <f>_xlfn.DISPIMG("ID_A4EABE31667B47C7BE26582B21A2FC44",1)</f>
        <v>#REF!</v>
      </c>
      <c r="E185" s="35">
        <v>0.97</v>
      </c>
      <c r="F185" s="31" t="s">
        <v>27</v>
      </c>
      <c r="G185" s="31">
        <v>1</v>
      </c>
      <c r="H185" s="36" t="s">
        <v>272</v>
      </c>
      <c r="I185" s="32" t="s">
        <v>273</v>
      </c>
      <c r="J185" s="31" t="s">
        <v>316</v>
      </c>
    </row>
    <row r="186" hidden="1" customHeight="1" spans="2:10">
      <c r="B186" s="31" t="s">
        <v>358</v>
      </c>
      <c r="C186" s="31" t="s">
        <v>359</v>
      </c>
      <c r="D186" s="31" t="e">
        <f>_xlfn.DISPIMG("ID_B7516DE2DF1443CE9E7AF48ED4C9D27F",1)</f>
        <v>#REF!</v>
      </c>
      <c r="E186" s="35">
        <v>0.98</v>
      </c>
      <c r="F186" s="31" t="s">
        <v>27</v>
      </c>
      <c r="G186" s="31">
        <v>1</v>
      </c>
      <c r="H186" s="36" t="s">
        <v>272</v>
      </c>
      <c r="I186" s="32" t="s">
        <v>273</v>
      </c>
      <c r="J186" s="31" t="s">
        <v>316</v>
      </c>
    </row>
    <row r="187" hidden="1" customHeight="1" spans="2:10">
      <c r="B187" s="32" t="s">
        <v>360</v>
      </c>
      <c r="C187" s="31" t="s">
        <v>361</v>
      </c>
      <c r="D187" s="31" t="e">
        <f>_xlfn.DISPIMG("ID_D43F01B25E2C4C23A178985E6C86C862",1)</f>
        <v>#REF!</v>
      </c>
      <c r="E187" s="35">
        <v>0.98</v>
      </c>
      <c r="F187" s="31" t="s">
        <v>27</v>
      </c>
      <c r="G187" s="31">
        <v>1</v>
      </c>
      <c r="H187" s="36" t="s">
        <v>272</v>
      </c>
      <c r="I187" s="32" t="s">
        <v>273</v>
      </c>
      <c r="J187" s="31" t="s">
        <v>316</v>
      </c>
    </row>
    <row r="188" hidden="1" customHeight="1" spans="2:10">
      <c r="B188" s="31" t="s">
        <v>362</v>
      </c>
      <c r="C188" s="31" t="s">
        <v>363</v>
      </c>
      <c r="D188" s="30" t="e">
        <f>_xlfn.DISPIMG("ID_580454D9B20E43A69D07603FE898AD64",1)</f>
        <v>#REF!</v>
      </c>
      <c r="E188" s="31"/>
      <c r="F188" s="31" t="s">
        <v>50</v>
      </c>
      <c r="G188" s="31">
        <v>1</v>
      </c>
      <c r="H188" s="36" t="s">
        <v>272</v>
      </c>
      <c r="I188" s="32" t="s">
        <v>273</v>
      </c>
      <c r="J188" s="31" t="s">
        <v>316</v>
      </c>
    </row>
    <row r="189" hidden="1" customHeight="1" spans="2:10">
      <c r="B189" s="31" t="s">
        <v>364</v>
      </c>
      <c r="C189" s="31" t="s">
        <v>365</v>
      </c>
      <c r="D189" s="31" t="e">
        <f>_xlfn.DISPIMG("ID_03EC3C7E32D14F248790C87FB5048092",1)</f>
        <v>#REF!</v>
      </c>
      <c r="E189" s="35">
        <v>0.97</v>
      </c>
      <c r="F189" s="31" t="s">
        <v>161</v>
      </c>
      <c r="G189" s="31">
        <v>1</v>
      </c>
      <c r="H189" s="36" t="s">
        <v>272</v>
      </c>
      <c r="I189" s="32" t="s">
        <v>273</v>
      </c>
      <c r="J189" s="31" t="s">
        <v>316</v>
      </c>
    </row>
    <row r="190" hidden="1" customHeight="1" spans="2:10">
      <c r="B190" s="31" t="s">
        <v>366</v>
      </c>
      <c r="C190" s="31" t="s">
        <v>367</v>
      </c>
      <c r="D190" s="30" t="e">
        <f>_xlfn.DISPIMG("ID_0B37C290B9214ED9A336D6D0CCDC0AB7",1)</f>
        <v>#REF!</v>
      </c>
      <c r="E190" s="35">
        <v>0.95</v>
      </c>
      <c r="F190" s="31" t="s">
        <v>45</v>
      </c>
      <c r="G190" s="31">
        <v>1</v>
      </c>
      <c r="H190" s="36" t="s">
        <v>272</v>
      </c>
      <c r="I190" s="32" t="s">
        <v>273</v>
      </c>
      <c r="J190" s="31" t="s">
        <v>316</v>
      </c>
    </row>
    <row r="191" hidden="1" customHeight="1" spans="2:10">
      <c r="B191" s="31" t="s">
        <v>368</v>
      </c>
      <c r="C191" s="31" t="s">
        <v>369</v>
      </c>
      <c r="D191" s="30" t="e">
        <f>_xlfn.DISPIMG("ID_6F8B716DCE7C41F787607ADD28B39E3A",1)</f>
        <v>#REF!</v>
      </c>
      <c r="E191" s="35">
        <v>0.97</v>
      </c>
      <c r="F191" s="31" t="s">
        <v>23</v>
      </c>
      <c r="G191" s="31">
        <v>1</v>
      </c>
      <c r="H191" s="36" t="s">
        <v>272</v>
      </c>
      <c r="I191" s="32" t="s">
        <v>273</v>
      </c>
      <c r="J191" s="31" t="s">
        <v>370</v>
      </c>
    </row>
    <row r="192" hidden="1" customHeight="1" spans="2:10">
      <c r="B192" s="32" t="s">
        <v>371</v>
      </c>
      <c r="C192" s="31" t="s">
        <v>304</v>
      </c>
      <c r="D192" s="30" t="e">
        <f>_xlfn.DISPIMG("ID_E729A76FB3F4423B8546B764A129919E",1)</f>
        <v>#REF!</v>
      </c>
      <c r="E192" s="35">
        <v>0.98</v>
      </c>
      <c r="F192" s="31" t="s">
        <v>45</v>
      </c>
      <c r="G192" s="31">
        <v>1</v>
      </c>
      <c r="H192" s="36" t="s">
        <v>272</v>
      </c>
      <c r="I192" s="32" t="s">
        <v>273</v>
      </c>
      <c r="J192" s="31" t="s">
        <v>370</v>
      </c>
    </row>
    <row r="193" hidden="1" customHeight="1" spans="2:10">
      <c r="B193" s="32" t="s">
        <v>372</v>
      </c>
      <c r="C193" s="31" t="s">
        <v>297</v>
      </c>
      <c r="D193" s="30" t="e">
        <f>_xlfn.DISPIMG("ID_778442338A1548AC9EB73678ADAE8EFB",1)</f>
        <v>#REF!</v>
      </c>
      <c r="E193" s="35">
        <v>0.99</v>
      </c>
      <c r="F193" s="31" t="s">
        <v>45</v>
      </c>
      <c r="G193" s="31">
        <v>1</v>
      </c>
      <c r="H193" s="36" t="s">
        <v>272</v>
      </c>
      <c r="I193" s="32" t="s">
        <v>273</v>
      </c>
      <c r="J193" s="31" t="s">
        <v>370</v>
      </c>
    </row>
    <row r="194" hidden="1" customHeight="1" spans="2:10">
      <c r="B194" s="31" t="s">
        <v>373</v>
      </c>
      <c r="C194" s="31" t="s">
        <v>374</v>
      </c>
      <c r="D194" s="30" t="e">
        <f>_xlfn.DISPIMG("ID_75EE1885798049279166D6A80F43A3C3",1)</f>
        <v>#REF!</v>
      </c>
      <c r="E194" s="35">
        <v>0.97</v>
      </c>
      <c r="F194" s="31" t="s">
        <v>23</v>
      </c>
      <c r="G194" s="31">
        <v>1</v>
      </c>
      <c r="H194" s="36" t="s">
        <v>272</v>
      </c>
      <c r="I194" s="32" t="s">
        <v>273</v>
      </c>
      <c r="J194" s="31" t="s">
        <v>370</v>
      </c>
    </row>
    <row r="195" hidden="1" customHeight="1" spans="2:10">
      <c r="B195" s="31" t="s">
        <v>375</v>
      </c>
      <c r="C195" s="31" t="s">
        <v>376</v>
      </c>
      <c r="D195" s="30" t="e">
        <f>_xlfn.DISPIMG("ID_A45421CFC5844FE9AD0DD53FD6CDCFBC",1)</f>
        <v>#REF!</v>
      </c>
      <c r="E195" s="35">
        <v>0.98</v>
      </c>
      <c r="F195" s="31" t="s">
        <v>23</v>
      </c>
      <c r="G195" s="31">
        <v>1</v>
      </c>
      <c r="H195" s="36" t="s">
        <v>272</v>
      </c>
      <c r="I195" s="32" t="s">
        <v>273</v>
      </c>
      <c r="J195" s="31" t="s">
        <v>370</v>
      </c>
    </row>
    <row r="196" hidden="1" customHeight="1" spans="2:10">
      <c r="B196" s="31" t="s">
        <v>377</v>
      </c>
      <c r="C196" s="31" t="s">
        <v>378</v>
      </c>
      <c r="D196" s="30" t="e">
        <f>_xlfn.DISPIMG("ID_776AD61DB95349EEB59831FFD793B82A",1)</f>
        <v>#REF!</v>
      </c>
      <c r="E196" s="35">
        <v>0.98</v>
      </c>
      <c r="F196" s="31" t="s">
        <v>23</v>
      </c>
      <c r="G196" s="31">
        <v>1</v>
      </c>
      <c r="H196" s="36" t="s">
        <v>272</v>
      </c>
      <c r="I196" s="32" t="s">
        <v>273</v>
      </c>
      <c r="J196" s="31" t="s">
        <v>370</v>
      </c>
    </row>
    <row r="197" hidden="1" customHeight="1" spans="2:10">
      <c r="B197" s="31" t="s">
        <v>379</v>
      </c>
      <c r="C197" s="31" t="s">
        <v>334</v>
      </c>
      <c r="D197" s="30" t="e">
        <f>_xlfn.DISPIMG("ID_C839C68ADDA94617AEFBE723A012B60D",1)</f>
        <v>#REF!</v>
      </c>
      <c r="E197" s="35">
        <v>0.98</v>
      </c>
      <c r="F197" s="31" t="s">
        <v>23</v>
      </c>
      <c r="G197" s="31">
        <v>1</v>
      </c>
      <c r="H197" s="36" t="s">
        <v>272</v>
      </c>
      <c r="I197" s="32" t="s">
        <v>273</v>
      </c>
      <c r="J197" s="31" t="s">
        <v>370</v>
      </c>
    </row>
    <row r="198" hidden="1" customHeight="1" spans="2:10">
      <c r="B198" s="31" t="s">
        <v>380</v>
      </c>
      <c r="C198" s="31" t="s">
        <v>341</v>
      </c>
      <c r="D198" s="30" t="e">
        <f>_xlfn.DISPIMG("ID_9E746A31DE954EF9B072C98A2AEC78EB",1)</f>
        <v>#REF!</v>
      </c>
      <c r="E198" s="35">
        <v>0.98</v>
      </c>
      <c r="F198" s="31" t="s">
        <v>23</v>
      </c>
      <c r="G198" s="31">
        <v>1</v>
      </c>
      <c r="H198" s="36" t="s">
        <v>272</v>
      </c>
      <c r="I198" s="32" t="s">
        <v>273</v>
      </c>
      <c r="J198" s="31" t="s">
        <v>370</v>
      </c>
    </row>
    <row r="199" hidden="1" customHeight="1" spans="2:10">
      <c r="B199" s="31" t="s">
        <v>336</v>
      </c>
      <c r="C199" s="31" t="s">
        <v>337</v>
      </c>
      <c r="D199" s="30" t="e">
        <f>_xlfn.DISPIMG("ID_7E2B1C25824A4725AED9105C4CDC1868",1)</f>
        <v>#REF!</v>
      </c>
      <c r="E199" s="31"/>
      <c r="F199" s="31"/>
      <c r="G199" s="31">
        <v>1</v>
      </c>
      <c r="H199" s="36" t="s">
        <v>272</v>
      </c>
      <c r="I199" s="32" t="s">
        <v>273</v>
      </c>
      <c r="J199" s="31" t="s">
        <v>370</v>
      </c>
    </row>
    <row r="200" hidden="1" customHeight="1" spans="2:10">
      <c r="B200" s="31" t="s">
        <v>381</v>
      </c>
      <c r="C200" s="31" t="s">
        <v>218</v>
      </c>
      <c r="D200" s="30" t="e">
        <f>_xlfn.DISPIMG("ID_96327DDDE96B476AB4FFFA786BCB2CAF",1)</f>
        <v>#REF!</v>
      </c>
      <c r="E200" s="37">
        <v>0.9984</v>
      </c>
      <c r="F200" s="31" t="s">
        <v>27</v>
      </c>
      <c r="G200" s="31">
        <v>5</v>
      </c>
      <c r="H200" s="36" t="s">
        <v>272</v>
      </c>
      <c r="I200" s="32" t="s">
        <v>273</v>
      </c>
      <c r="J200" s="31" t="s">
        <v>370</v>
      </c>
    </row>
    <row r="201" hidden="1" customHeight="1" spans="2:10">
      <c r="B201" s="31" t="s">
        <v>344</v>
      </c>
      <c r="C201" s="31" t="s">
        <v>345</v>
      </c>
      <c r="D201" s="30" t="e">
        <f>_xlfn.DISPIMG("ID_9A268ACB0D694C9C903C8BFDCC4BD676",1)</f>
        <v>#REF!</v>
      </c>
      <c r="E201" s="35">
        <v>0.98</v>
      </c>
      <c r="F201" s="31" t="s">
        <v>346</v>
      </c>
      <c r="G201" s="31">
        <v>1</v>
      </c>
      <c r="H201" s="36" t="s">
        <v>272</v>
      </c>
      <c r="I201" s="32" t="s">
        <v>273</v>
      </c>
      <c r="J201" s="31" t="s">
        <v>370</v>
      </c>
    </row>
    <row r="202" hidden="1" customHeight="1" spans="1:10">
      <c r="A202" s="2">
        <v>243</v>
      </c>
      <c r="B202" s="7" t="s">
        <v>382</v>
      </c>
      <c r="C202" s="7" t="s">
        <v>383</v>
      </c>
      <c r="D202" s="7" t="str">
        <f>_xlfn.DISPIMG("ID_F2D297C8C3FF425E81E677A6901455C6",1)</f>
        <v>=DISPIMG("ID_F2D297C8C3FF425E81E677A6901455C6",1)</v>
      </c>
      <c r="E202" s="23">
        <v>0.99</v>
      </c>
      <c r="F202" s="7" t="s">
        <v>12</v>
      </c>
      <c r="G202" s="7"/>
      <c r="H202" s="11" t="s">
        <v>13</v>
      </c>
      <c r="I202" s="11" t="s">
        <v>384</v>
      </c>
      <c r="J202" s="5" t="s">
        <v>385</v>
      </c>
    </row>
    <row r="203" hidden="1" customHeight="1" spans="1:10">
      <c r="A203" s="2">
        <v>544</v>
      </c>
      <c r="B203" s="7" t="s">
        <v>386</v>
      </c>
      <c r="C203" s="7" t="s">
        <v>387</v>
      </c>
      <c r="D203" s="7" t="str">
        <f>_xlfn.DISPIMG("ID_C52CB1FF373C45BF96FCB56186A5CA25",1)</f>
        <v>=DISPIMG("ID_C52CB1FF373C45BF96FCB56186A5CA25",1)</v>
      </c>
      <c r="E203" s="7" t="s">
        <v>388</v>
      </c>
      <c r="F203" s="7" t="s">
        <v>23</v>
      </c>
      <c r="G203" s="7">
        <v>1</v>
      </c>
      <c r="H203" s="11" t="s">
        <v>13</v>
      </c>
      <c r="I203" s="11" t="s">
        <v>384</v>
      </c>
      <c r="J203" s="11" t="s">
        <v>196</v>
      </c>
    </row>
    <row r="204" hidden="1" customHeight="1" spans="2:10">
      <c r="B204" s="30" t="s">
        <v>389</v>
      </c>
      <c r="C204" s="38" t="s">
        <v>390</v>
      </c>
      <c r="D204" s="30"/>
      <c r="E204" s="34">
        <v>0.95</v>
      </c>
      <c r="F204" s="30" t="s">
        <v>27</v>
      </c>
      <c r="G204" s="30">
        <v>1</v>
      </c>
      <c r="H204" s="36" t="s">
        <v>272</v>
      </c>
      <c r="I204" s="32" t="s">
        <v>391</v>
      </c>
      <c r="J204" s="30" t="s">
        <v>277</v>
      </c>
    </row>
    <row r="205" hidden="1" customHeight="1" spans="2:10">
      <c r="B205" s="31" t="s">
        <v>392</v>
      </c>
      <c r="C205" s="31" t="s">
        <v>393</v>
      </c>
      <c r="D205" s="30" t="e">
        <f>_xlfn.DISPIMG("ID_A535B66F411E4F3A882515F4299033C2",1)</f>
        <v>#REF!</v>
      </c>
      <c r="E205" s="35">
        <v>0.98</v>
      </c>
      <c r="F205" s="31" t="s">
        <v>23</v>
      </c>
      <c r="G205" s="31">
        <v>1</v>
      </c>
      <c r="H205" s="36" t="s">
        <v>272</v>
      </c>
      <c r="I205" s="32" t="s">
        <v>391</v>
      </c>
      <c r="J205" s="31" t="s">
        <v>370</v>
      </c>
    </row>
    <row r="206" hidden="1" customHeight="1" spans="1:10">
      <c r="A206" s="2">
        <v>147</v>
      </c>
      <c r="B206" s="7" t="s">
        <v>394</v>
      </c>
      <c r="C206" s="10" t="s">
        <v>395</v>
      </c>
      <c r="D206" s="2" t="str">
        <f>_xlfn.DISPIMG("ID_5864639D55C6465CB7E261E7EEC39C02",1)</f>
        <v>=DISPIMG("ID_5864639D55C6465CB7E261E7EEC39C02",1)</v>
      </c>
      <c r="E206" s="7"/>
      <c r="F206" s="7" t="s">
        <v>12</v>
      </c>
      <c r="G206" s="7">
        <v>1</v>
      </c>
      <c r="H206" s="11" t="s">
        <v>13</v>
      </c>
      <c r="I206" s="11" t="s">
        <v>396</v>
      </c>
      <c r="J206" s="5" t="s">
        <v>397</v>
      </c>
    </row>
    <row r="207" hidden="1" customHeight="1" spans="1:10">
      <c r="A207" s="2">
        <v>148</v>
      </c>
      <c r="B207" s="7" t="s">
        <v>398</v>
      </c>
      <c r="C207" s="7" t="s">
        <v>399</v>
      </c>
      <c r="D207" s="7" t="str">
        <f>_xlfn.DISPIMG("ID_9DEF6B4135A244FEBA4C2775A31CFE0F",1)</f>
        <v>=DISPIMG("ID_9DEF6B4135A244FEBA4C2775A31CFE0F",1)</v>
      </c>
      <c r="E207" s="22">
        <v>0.95</v>
      </c>
      <c r="F207" s="7" t="s">
        <v>45</v>
      </c>
      <c r="G207" s="7">
        <v>1</v>
      </c>
      <c r="H207" s="11" t="s">
        <v>13</v>
      </c>
      <c r="I207" s="11" t="s">
        <v>396</v>
      </c>
      <c r="J207" s="5" t="s">
        <v>397</v>
      </c>
    </row>
    <row r="208" hidden="1" customHeight="1" spans="1:10">
      <c r="A208" s="2">
        <v>169</v>
      </c>
      <c r="B208" s="5" t="s">
        <v>400</v>
      </c>
      <c r="C208" s="5" t="s">
        <v>383</v>
      </c>
      <c r="G208" s="2">
        <v>1</v>
      </c>
      <c r="H208" s="5" t="s">
        <v>13</v>
      </c>
      <c r="I208" s="2" t="s">
        <v>401</v>
      </c>
      <c r="J208" s="5" t="s">
        <v>402</v>
      </c>
    </row>
    <row r="209" hidden="1" customHeight="1" spans="1:10">
      <c r="A209" s="2">
        <v>244</v>
      </c>
      <c r="B209" s="7" t="s">
        <v>403</v>
      </c>
      <c r="C209" s="11" t="s">
        <v>404</v>
      </c>
      <c r="D209" s="7" t="str">
        <f>_xlfn.DISPIMG("ID_6B372AD9EA724DB99CC0DA298AA727D1",1)</f>
        <v>=DISPIMG("ID_6B372AD9EA724DB99CC0DA298AA727D1",1)</v>
      </c>
      <c r="E209" s="23">
        <v>0.995</v>
      </c>
      <c r="F209" s="7" t="s">
        <v>12</v>
      </c>
      <c r="G209" s="7">
        <v>2</v>
      </c>
      <c r="H209" s="11" t="s">
        <v>13</v>
      </c>
      <c r="I209" s="11" t="s">
        <v>396</v>
      </c>
      <c r="J209" s="5" t="s">
        <v>405</v>
      </c>
    </row>
    <row r="210" hidden="1" customHeight="1" spans="1:10">
      <c r="A210" s="2">
        <v>298</v>
      </c>
      <c r="B210" s="7" t="s">
        <v>406</v>
      </c>
      <c r="C210" s="7" t="s">
        <v>407</v>
      </c>
      <c r="D210" s="7" t="str">
        <f>_xlfn.DISPIMG("ID_4050F3DC4A39481FA2AE323DC85E931E",1)</f>
        <v>=DISPIMG("ID_4050F3DC4A39481FA2AE323DC85E931E",1)</v>
      </c>
      <c r="E210" s="22">
        <v>0.99</v>
      </c>
      <c r="F210" s="7" t="s">
        <v>45</v>
      </c>
      <c r="G210" s="7">
        <v>1</v>
      </c>
      <c r="H210" s="11" t="s">
        <v>13</v>
      </c>
      <c r="I210" s="11" t="s">
        <v>396</v>
      </c>
      <c r="J210" s="5" t="s">
        <v>408</v>
      </c>
    </row>
    <row r="211" hidden="1" customHeight="1" spans="2:10">
      <c r="B211" s="32" t="s">
        <v>409</v>
      </c>
      <c r="C211" s="31" t="s">
        <v>410</v>
      </c>
      <c r="D211" s="31" t="str">
        <f>_xlfn.DISPIMG("ID_3EA3D22E74A047CFBAE42BE985EB34C9",1)</f>
        <v>=DISPIMG("ID_3EA3D22E74A047CFBAE42BE985EB34C9",1)</v>
      </c>
      <c r="E211" s="35">
        <v>0.98</v>
      </c>
      <c r="F211" s="31" t="s">
        <v>75</v>
      </c>
      <c r="G211" s="31">
        <v>1</v>
      </c>
      <c r="H211" s="36" t="s">
        <v>272</v>
      </c>
      <c r="I211" s="32" t="s">
        <v>411</v>
      </c>
      <c r="J211" s="31" t="s">
        <v>308</v>
      </c>
    </row>
    <row r="212" hidden="1" customHeight="1" spans="1:10">
      <c r="A212" s="2">
        <v>153</v>
      </c>
      <c r="B212" s="7" t="s">
        <v>412</v>
      </c>
      <c r="C212" s="7" t="s">
        <v>413</v>
      </c>
      <c r="D212" s="7" t="str">
        <f>_xlfn.DISPIMG("ID_F5B69C2B1362453BB9DCB18491CCAE85",1)</f>
        <v>=DISPIMG("ID_F5B69C2B1362453BB9DCB18491CCAE85",1)</v>
      </c>
      <c r="E212" s="7"/>
      <c r="F212" s="7" t="s">
        <v>124</v>
      </c>
      <c r="G212" s="7">
        <v>1</v>
      </c>
      <c r="H212" s="11" t="s">
        <v>13</v>
      </c>
      <c r="I212" s="11" t="s">
        <v>414</v>
      </c>
      <c r="J212" s="5" t="s">
        <v>402</v>
      </c>
    </row>
    <row r="213" hidden="1" customHeight="1" spans="1:10">
      <c r="A213" s="2">
        <v>154</v>
      </c>
      <c r="B213" s="7" t="s">
        <v>415</v>
      </c>
      <c r="C213" s="7" t="s">
        <v>416</v>
      </c>
      <c r="D213" s="7" t="str">
        <f>_xlfn.DISPIMG("ID_1F8227285EB24571994282CBC61B0239",1)</f>
        <v>=DISPIMG("ID_1F8227285EB24571994282CBC61B0239",1)</v>
      </c>
      <c r="E213" s="22">
        <v>0.98</v>
      </c>
      <c r="F213" s="7" t="s">
        <v>175</v>
      </c>
      <c r="G213" s="7">
        <v>1</v>
      </c>
      <c r="H213" s="11" t="s">
        <v>13</v>
      </c>
      <c r="I213" s="11" t="s">
        <v>414</v>
      </c>
      <c r="J213" s="5" t="s">
        <v>402</v>
      </c>
    </row>
    <row r="214" hidden="1" customHeight="1" spans="1:10">
      <c r="A214" s="2">
        <v>155</v>
      </c>
      <c r="B214" s="7" t="s">
        <v>417</v>
      </c>
      <c r="C214" s="10" t="s">
        <v>418</v>
      </c>
      <c r="D214" s="11" t="str">
        <f>_xlfn.DISPIMG("ID_7C3A2A49317D401FA99A3B338B2AB15A",1)</f>
        <v>=DISPIMG("ID_7C3A2A49317D401FA99A3B338B2AB15A",1)</v>
      </c>
      <c r="E214" s="7"/>
      <c r="F214" s="7" t="s">
        <v>12</v>
      </c>
      <c r="G214" s="7">
        <v>2</v>
      </c>
      <c r="H214" s="11" t="s">
        <v>13</v>
      </c>
      <c r="I214" s="11" t="s">
        <v>414</v>
      </c>
      <c r="J214" s="5" t="s">
        <v>402</v>
      </c>
    </row>
    <row r="215" hidden="1" customHeight="1" spans="1:10">
      <c r="A215" s="2">
        <v>156</v>
      </c>
      <c r="B215" s="7" t="s">
        <v>419</v>
      </c>
      <c r="C215" s="10" t="s">
        <v>420</v>
      </c>
      <c r="D215" s="11" t="str">
        <f>_xlfn.DISPIMG("ID_D8A7FD34744F4E96956053E41D2DF417",1)</f>
        <v>=DISPIMG("ID_D8A7FD34744F4E96956053E41D2DF417",1)</v>
      </c>
      <c r="E215" s="7"/>
      <c r="F215" s="7" t="s">
        <v>12</v>
      </c>
      <c r="G215" s="7">
        <v>1</v>
      </c>
      <c r="H215" s="11" t="s">
        <v>13</v>
      </c>
      <c r="I215" s="11" t="s">
        <v>414</v>
      </c>
      <c r="J215" s="5" t="s">
        <v>402</v>
      </c>
    </row>
    <row r="216" hidden="1" customHeight="1" spans="1:10">
      <c r="A216" s="2">
        <v>157</v>
      </c>
      <c r="B216" s="7" t="s">
        <v>419</v>
      </c>
      <c r="C216" s="7" t="s">
        <v>420</v>
      </c>
      <c r="D216" s="7" t="str">
        <f>_xlfn.DISPIMG("ID_130D4F27CD1E42B68E362DECB974221C",1)</f>
        <v>=DISPIMG("ID_130D4F27CD1E42B68E362DECB974221C",1)</v>
      </c>
      <c r="E216" s="7"/>
      <c r="F216" s="7" t="s">
        <v>12</v>
      </c>
      <c r="G216" s="7">
        <v>1</v>
      </c>
      <c r="H216" s="11" t="s">
        <v>13</v>
      </c>
      <c r="I216" s="11" t="s">
        <v>414</v>
      </c>
      <c r="J216" s="5" t="s">
        <v>402</v>
      </c>
    </row>
    <row r="217" hidden="1" customHeight="1" spans="1:10">
      <c r="A217" s="2">
        <v>158</v>
      </c>
      <c r="B217" s="11" t="s">
        <v>421</v>
      </c>
      <c r="C217" s="7" t="s">
        <v>420</v>
      </c>
      <c r="D217" s="7" t="str">
        <f>_xlfn.DISPIMG("ID_2C191C6EC91642159C4374F0C8BE6D0E",1)</f>
        <v>=DISPIMG("ID_2C191C6EC91642159C4374F0C8BE6D0E",1)</v>
      </c>
      <c r="E217" s="7"/>
      <c r="F217" s="7"/>
      <c r="G217" s="7">
        <v>1</v>
      </c>
      <c r="H217" s="11" t="s">
        <v>13</v>
      </c>
      <c r="I217" s="11" t="s">
        <v>414</v>
      </c>
      <c r="J217" s="5" t="s">
        <v>402</v>
      </c>
    </row>
    <row r="218" hidden="1" customHeight="1" spans="1:10">
      <c r="A218" s="2">
        <v>159</v>
      </c>
      <c r="B218" s="7" t="s">
        <v>419</v>
      </c>
      <c r="C218" s="7" t="s">
        <v>420</v>
      </c>
      <c r="D218" s="7" t="str">
        <f>_xlfn.DISPIMG("ID_7AA2D3AAB4D54E9B9A755E0A29C1447C",1)</f>
        <v>=DISPIMG("ID_7AA2D3AAB4D54E9B9A755E0A29C1447C",1)</v>
      </c>
      <c r="E218" s="7"/>
      <c r="F218" s="7" t="s">
        <v>12</v>
      </c>
      <c r="G218" s="7">
        <v>1</v>
      </c>
      <c r="H218" s="11" t="s">
        <v>13</v>
      </c>
      <c r="I218" s="11" t="s">
        <v>414</v>
      </c>
      <c r="J218" s="5" t="s">
        <v>402</v>
      </c>
    </row>
    <row r="219" hidden="1" customHeight="1" spans="1:10">
      <c r="A219" s="2">
        <v>160</v>
      </c>
      <c r="B219" s="7" t="s">
        <v>422</v>
      </c>
      <c r="C219" s="7" t="s">
        <v>420</v>
      </c>
      <c r="D219" s="7" t="str">
        <f>_xlfn.DISPIMG("ID_00F15261517147518110FCE530917446",1)</f>
        <v>=DISPIMG("ID_00F15261517147518110FCE530917446",1)</v>
      </c>
      <c r="E219" s="7"/>
      <c r="F219" s="7" t="s">
        <v>12</v>
      </c>
      <c r="G219" s="7">
        <v>1</v>
      </c>
      <c r="H219" s="11" t="s">
        <v>13</v>
      </c>
      <c r="I219" s="11" t="s">
        <v>414</v>
      </c>
      <c r="J219" s="5" t="s">
        <v>402</v>
      </c>
    </row>
    <row r="220" hidden="1" customHeight="1" spans="1:10">
      <c r="A220" s="2">
        <v>161</v>
      </c>
      <c r="B220" s="7" t="s">
        <v>417</v>
      </c>
      <c r="C220" s="7" t="s">
        <v>423</v>
      </c>
      <c r="D220" s="7" t="str">
        <f>_xlfn.DISPIMG("ID_D34D9A578D9F486E9C4D8C84904E8ECF",1)</f>
        <v>=DISPIMG("ID_D34D9A578D9F486E9C4D8C84904E8ECF",1)</v>
      </c>
      <c r="E220" s="7"/>
      <c r="F220" s="7" t="s">
        <v>12</v>
      </c>
      <c r="G220" s="7">
        <v>3</v>
      </c>
      <c r="H220" s="11" t="s">
        <v>13</v>
      </c>
      <c r="I220" s="11" t="s">
        <v>414</v>
      </c>
      <c r="J220" s="5" t="s">
        <v>402</v>
      </c>
    </row>
    <row r="221" hidden="1" customHeight="1" spans="1:10">
      <c r="A221" s="2">
        <v>162</v>
      </c>
      <c r="B221" s="7" t="s">
        <v>424</v>
      </c>
      <c r="C221" s="7" t="s">
        <v>425</v>
      </c>
      <c r="D221" s="7" t="str">
        <f>_xlfn.DISPIMG("ID_203891B22F5040838E5A1ADB8EFA70E1",1)</f>
        <v>=DISPIMG("ID_203891B22F5040838E5A1ADB8EFA70E1",1)</v>
      </c>
      <c r="E221" s="23">
        <v>0.995</v>
      </c>
      <c r="F221" s="7" t="s">
        <v>12</v>
      </c>
      <c r="G221" s="7">
        <v>1</v>
      </c>
      <c r="H221" s="11" t="s">
        <v>13</v>
      </c>
      <c r="I221" s="11" t="s">
        <v>414</v>
      </c>
      <c r="J221" s="5" t="s">
        <v>402</v>
      </c>
    </row>
    <row r="222" hidden="1" customHeight="1" spans="1:10">
      <c r="A222" s="2">
        <v>163</v>
      </c>
      <c r="B222" s="7" t="s">
        <v>426</v>
      </c>
      <c r="C222" s="7" t="s">
        <v>427</v>
      </c>
      <c r="D222" s="7" t="str">
        <f>_xlfn.DISPIMG("ID_334D1D9BA354492D8F22052211C62BF1",1)</f>
        <v>=DISPIMG("ID_334D1D9BA354492D8F22052211C62BF1",1)</v>
      </c>
      <c r="E222" s="7"/>
      <c r="F222" s="7"/>
      <c r="G222" s="7">
        <v>3</v>
      </c>
      <c r="H222" s="11" t="s">
        <v>13</v>
      </c>
      <c r="I222" s="11" t="s">
        <v>414</v>
      </c>
      <c r="J222" s="5" t="s">
        <v>402</v>
      </c>
    </row>
    <row r="223" hidden="1" customHeight="1" spans="1:10">
      <c r="A223" s="2">
        <v>164</v>
      </c>
      <c r="B223" s="7" t="s">
        <v>426</v>
      </c>
      <c r="C223" s="7" t="s">
        <v>427</v>
      </c>
      <c r="D223" s="7" t="str">
        <f>_xlfn.DISPIMG("ID_D57CF1D0EE73467182E3FD236B267E45",1)</f>
        <v>=DISPIMG("ID_D57CF1D0EE73467182E3FD236B267E45",1)</v>
      </c>
      <c r="E223" s="23">
        <v>0.995</v>
      </c>
      <c r="F223" s="7" t="s">
        <v>12</v>
      </c>
      <c r="G223" s="7">
        <v>1</v>
      </c>
      <c r="H223" s="11" t="s">
        <v>13</v>
      </c>
      <c r="I223" s="11" t="s">
        <v>414</v>
      </c>
      <c r="J223" s="5" t="s">
        <v>402</v>
      </c>
    </row>
    <row r="224" hidden="1" customHeight="1" spans="1:10">
      <c r="A224" s="2">
        <v>165</v>
      </c>
      <c r="B224" s="7" t="s">
        <v>428</v>
      </c>
      <c r="C224" s="7" t="s">
        <v>427</v>
      </c>
      <c r="D224" s="7" t="str">
        <f>_xlfn.DISPIMG("ID_CC60D81FE1674021A93F8E10844962A7",1)</f>
        <v>=DISPIMG("ID_CC60D81FE1674021A93F8E10844962A7",1)</v>
      </c>
      <c r="E224" s="7" t="s">
        <v>429</v>
      </c>
      <c r="F224" s="7" t="s">
        <v>12</v>
      </c>
      <c r="G224" s="7">
        <v>1</v>
      </c>
      <c r="H224" s="11" t="s">
        <v>13</v>
      </c>
      <c r="I224" s="11" t="s">
        <v>414</v>
      </c>
      <c r="J224" s="5" t="s">
        <v>402</v>
      </c>
    </row>
    <row r="225" hidden="1" customHeight="1" spans="1:10">
      <c r="A225" s="2">
        <v>166</v>
      </c>
      <c r="B225" s="5" t="s">
        <v>430</v>
      </c>
      <c r="C225" s="18" t="s">
        <v>431</v>
      </c>
      <c r="D225" s="11" t="s">
        <v>432</v>
      </c>
      <c r="E225" s="23">
        <v>0.995</v>
      </c>
      <c r="F225" s="5" t="s">
        <v>12</v>
      </c>
      <c r="G225" s="2">
        <v>1</v>
      </c>
      <c r="H225" s="5" t="s">
        <v>13</v>
      </c>
      <c r="I225" s="5" t="s">
        <v>414</v>
      </c>
      <c r="J225" s="5" t="s">
        <v>402</v>
      </c>
    </row>
    <row r="226" hidden="1" customHeight="1" spans="1:10">
      <c r="A226" s="2">
        <v>170</v>
      </c>
      <c r="B226" s="5" t="s">
        <v>433</v>
      </c>
      <c r="C226" s="5" t="s">
        <v>427</v>
      </c>
      <c r="D226" s="2" t="str">
        <f>_xlfn.DISPIMG("ID_36E313895AD744099C5087D4FB9D2BB1",1)</f>
        <v>=DISPIMG("ID_36E313895AD744099C5087D4FB9D2BB1",1)</v>
      </c>
      <c r="G226" s="2">
        <v>1</v>
      </c>
      <c r="H226" s="5" t="s">
        <v>13</v>
      </c>
      <c r="I226" s="5" t="s">
        <v>414</v>
      </c>
      <c r="J226" s="5" t="s">
        <v>402</v>
      </c>
    </row>
    <row r="227" hidden="1" customHeight="1" spans="1:10">
      <c r="A227" s="2">
        <v>171</v>
      </c>
      <c r="B227" s="5" t="s">
        <v>434</v>
      </c>
      <c r="C227" s="5" t="s">
        <v>435</v>
      </c>
      <c r="I227" s="5" t="s">
        <v>414</v>
      </c>
      <c r="J227" s="5" t="s">
        <v>402</v>
      </c>
    </row>
    <row r="228" hidden="1" customHeight="1" spans="1:10">
      <c r="A228" s="2">
        <v>174</v>
      </c>
      <c r="B228" s="7" t="s">
        <v>436</v>
      </c>
      <c r="C228" s="39" t="s">
        <v>437</v>
      </c>
      <c r="D228" s="7" t="str">
        <f>_xlfn.DISPIMG("ID_64567C8625AC44A1A99C62241D3BEC2A",1)</f>
        <v>=DISPIMG("ID_64567C8625AC44A1A99C62241D3BEC2A",1)</v>
      </c>
      <c r="E228" s="7"/>
      <c r="F228" s="7" t="s">
        <v>110</v>
      </c>
      <c r="G228" s="7">
        <v>1</v>
      </c>
      <c r="H228" s="5" t="s">
        <v>13</v>
      </c>
      <c r="I228" s="11" t="s">
        <v>414</v>
      </c>
      <c r="J228" s="2" t="s">
        <v>438</v>
      </c>
    </row>
    <row r="229" hidden="1" customHeight="1" spans="1:10">
      <c r="A229" s="2">
        <v>179</v>
      </c>
      <c r="B229" s="7" t="s">
        <v>439</v>
      </c>
      <c r="C229" s="7" t="s">
        <v>420</v>
      </c>
      <c r="D229" s="7" t="str">
        <f>_xlfn.DISPIMG("ID_16D1E0CF57214F3EAC2AC27409134050",1)</f>
        <v>=DISPIMG("ID_16D1E0CF57214F3EAC2AC27409134050",1)</v>
      </c>
      <c r="E229" s="7"/>
      <c r="F229" s="7" t="s">
        <v>57</v>
      </c>
      <c r="G229" s="7">
        <v>1</v>
      </c>
      <c r="H229" s="11" t="s">
        <v>13</v>
      </c>
      <c r="I229" s="11" t="s">
        <v>414</v>
      </c>
      <c r="J229" s="5" t="s">
        <v>440</v>
      </c>
    </row>
    <row r="230" hidden="1" customHeight="1" spans="1:10">
      <c r="A230" s="2">
        <v>180</v>
      </c>
      <c r="B230" s="7" t="s">
        <v>441</v>
      </c>
      <c r="C230" s="7" t="s">
        <v>442</v>
      </c>
      <c r="D230" s="7" t="str">
        <f>_xlfn.DISPIMG("ID_DB7C2F700CF1408FB3815AB37E022DBD",1)</f>
        <v>=DISPIMG("ID_DB7C2F700CF1408FB3815AB37E022DBD",1)</v>
      </c>
      <c r="E230" s="7" t="s">
        <v>443</v>
      </c>
      <c r="F230" s="7" t="s">
        <v>45</v>
      </c>
      <c r="G230" s="7">
        <v>1</v>
      </c>
      <c r="H230" s="11" t="s">
        <v>13</v>
      </c>
      <c r="I230" s="11" t="s">
        <v>414</v>
      </c>
      <c r="J230" s="5" t="s">
        <v>440</v>
      </c>
    </row>
    <row r="231" hidden="1" customHeight="1" spans="1:10">
      <c r="A231" s="2">
        <v>181</v>
      </c>
      <c r="B231" s="7" t="s">
        <v>444</v>
      </c>
      <c r="C231" s="7" t="s">
        <v>445</v>
      </c>
      <c r="D231" s="7" t="str">
        <f>_xlfn.DISPIMG("ID_66515160D9D44E85B321CCC3E60F2A27",1)</f>
        <v>=DISPIMG("ID_66515160D9D44E85B321CCC3E60F2A27",1)</v>
      </c>
      <c r="E231" s="22">
        <v>0.98</v>
      </c>
      <c r="F231" s="7" t="s">
        <v>50</v>
      </c>
      <c r="G231" s="7">
        <v>1</v>
      </c>
      <c r="H231" s="11" t="s">
        <v>13</v>
      </c>
      <c r="I231" s="11" t="s">
        <v>414</v>
      </c>
      <c r="J231" s="5" t="s">
        <v>440</v>
      </c>
    </row>
    <row r="232" hidden="1" customHeight="1" spans="1:10">
      <c r="A232" s="2">
        <v>182</v>
      </c>
      <c r="B232" s="7" t="s">
        <v>446</v>
      </c>
      <c r="C232" s="18" t="s">
        <v>431</v>
      </c>
      <c r="D232" s="11" t="s">
        <v>432</v>
      </c>
      <c r="E232" s="23">
        <v>0.995</v>
      </c>
      <c r="F232" s="7" t="s">
        <v>12</v>
      </c>
      <c r="G232" s="7">
        <v>5</v>
      </c>
      <c r="H232" s="11" t="s">
        <v>13</v>
      </c>
      <c r="I232" s="11" t="s">
        <v>414</v>
      </c>
      <c r="J232" s="5" t="s">
        <v>440</v>
      </c>
    </row>
    <row r="233" hidden="1" customHeight="1" spans="1:10">
      <c r="A233" s="2">
        <v>183</v>
      </c>
      <c r="B233" s="5" t="s">
        <v>447</v>
      </c>
      <c r="C233" s="5" t="s">
        <v>448</v>
      </c>
      <c r="D233" s="2" t="str">
        <f>_xlfn.DISPIMG("ID_94531AA2AE3B4B2F8FE99A846BA2A0E3",1)</f>
        <v>=DISPIMG("ID_94531AA2AE3B4B2F8FE99A846BA2A0E3",1)</v>
      </c>
      <c r="E233" s="20">
        <v>0.98</v>
      </c>
      <c r="F233" s="5" t="s">
        <v>45</v>
      </c>
      <c r="G233" s="2">
        <v>1</v>
      </c>
      <c r="H233" s="2" t="s">
        <v>449</v>
      </c>
      <c r="I233" s="5" t="s">
        <v>414</v>
      </c>
      <c r="J233" s="5" t="s">
        <v>440</v>
      </c>
    </row>
    <row r="234" hidden="1" customHeight="1" spans="1:10">
      <c r="A234" s="2">
        <v>184</v>
      </c>
      <c r="B234" s="5" t="s">
        <v>450</v>
      </c>
      <c r="C234" s="13" t="s">
        <v>79</v>
      </c>
      <c r="D234" s="2" t="str">
        <f>_xlfn.DISPIMG("ID_EF81BFB20BF94D258E457880D0856F68",1)</f>
        <v>=DISPIMG("ID_EF81BFB20BF94D258E457880D0856F68",1)</v>
      </c>
      <c r="E234" s="20">
        <v>0.99</v>
      </c>
      <c r="F234" s="5" t="s">
        <v>45</v>
      </c>
      <c r="G234" s="2">
        <v>1</v>
      </c>
      <c r="H234" s="5" t="s">
        <v>13</v>
      </c>
      <c r="I234" s="5" t="s">
        <v>414</v>
      </c>
      <c r="J234" s="5" t="s">
        <v>440</v>
      </c>
    </row>
    <row r="235" hidden="1" customHeight="1" spans="1:10">
      <c r="A235" s="2">
        <v>185</v>
      </c>
      <c r="B235" s="5" t="s">
        <v>451</v>
      </c>
      <c r="C235" s="13" t="s">
        <v>452</v>
      </c>
      <c r="D235" s="2" t="str">
        <f>_xlfn.DISPIMG("ID_7A56C3F41B2A4A2ABCACE95825BAC176",1)</f>
        <v>=DISPIMG("ID_7A56C3F41B2A4A2ABCACE95825BAC176",1)</v>
      </c>
      <c r="E235" s="20">
        <v>0.95</v>
      </c>
      <c r="F235" s="5" t="s">
        <v>175</v>
      </c>
      <c r="G235" s="2">
        <v>1</v>
      </c>
      <c r="H235" s="5" t="s">
        <v>13</v>
      </c>
      <c r="I235" s="5" t="s">
        <v>414</v>
      </c>
      <c r="J235" s="5" t="s">
        <v>440</v>
      </c>
    </row>
    <row r="236" hidden="1" customHeight="1" spans="1:10">
      <c r="A236" s="2">
        <v>187</v>
      </c>
      <c r="B236" s="5" t="s">
        <v>433</v>
      </c>
      <c r="C236" s="5" t="s">
        <v>427</v>
      </c>
      <c r="D236" s="7" t="str">
        <f>_xlfn.DISPIMG("ID_334D1D9BA354492D8F22052211C62BF1",1)</f>
        <v>=DISPIMG("ID_334D1D9BA354492D8F22052211C62BF1",1)</v>
      </c>
      <c r="E236" s="28">
        <v>0.99</v>
      </c>
      <c r="F236" s="5" t="s">
        <v>50</v>
      </c>
      <c r="I236" s="5" t="s">
        <v>414</v>
      </c>
      <c r="J236" s="5" t="s">
        <v>453</v>
      </c>
    </row>
    <row r="237" hidden="1" customHeight="1" spans="1:10">
      <c r="A237" s="2">
        <v>192</v>
      </c>
      <c r="B237" s="7" t="s">
        <v>439</v>
      </c>
      <c r="C237" s="17" t="s">
        <v>420</v>
      </c>
      <c r="D237" s="7" t="str">
        <f>_xlfn.DISPIMG("ID_A92252161256444F8891A1E73022EF0E",1)</f>
        <v>=DISPIMG("ID_A92252161256444F8891A1E73022EF0E",1)</v>
      </c>
      <c r="E237" s="7"/>
      <c r="F237" s="7" t="s">
        <v>110</v>
      </c>
      <c r="G237" s="7">
        <v>1</v>
      </c>
      <c r="H237" s="11" t="s">
        <v>13</v>
      </c>
      <c r="I237" s="11" t="s">
        <v>414</v>
      </c>
      <c r="J237" s="2" t="s">
        <v>454</v>
      </c>
    </row>
    <row r="238" hidden="1" customHeight="1" spans="1:10">
      <c r="A238" s="2">
        <v>195</v>
      </c>
      <c r="B238" s="5" t="s">
        <v>455</v>
      </c>
      <c r="C238" s="2" t="s">
        <v>456</v>
      </c>
      <c r="D238" s="2" t="str">
        <f>_xlfn.DISPIMG("ID_A3CD0D867CD84E59A649C8E6A8446131",1)</f>
        <v>=DISPIMG("ID_A3CD0D867CD84E59A649C8E6A8446131",1)</v>
      </c>
      <c r="G238" s="2">
        <v>1</v>
      </c>
      <c r="H238" s="5" t="s">
        <v>13</v>
      </c>
      <c r="I238" s="5" t="s">
        <v>414</v>
      </c>
      <c r="J238" s="5" t="s">
        <v>457</v>
      </c>
    </row>
    <row r="239" hidden="1" customHeight="1" spans="1:10">
      <c r="A239" s="2">
        <v>196</v>
      </c>
      <c r="B239" s="2" t="s">
        <v>458</v>
      </c>
      <c r="C239" s="5" t="s">
        <v>459</v>
      </c>
      <c r="D239" s="2" t="str">
        <f>_xlfn.DISPIMG("ID_5ACED97DF9304FB7B048D54A552FA74A",1)</f>
        <v>=DISPIMG("ID_5ACED97DF9304FB7B048D54A552FA74A",1)</v>
      </c>
      <c r="E239" s="20">
        <v>0.99</v>
      </c>
      <c r="F239" s="5" t="s">
        <v>45</v>
      </c>
      <c r="G239" s="2">
        <v>1</v>
      </c>
      <c r="I239" s="5" t="s">
        <v>414</v>
      </c>
      <c r="J239" s="5" t="s">
        <v>457</v>
      </c>
    </row>
    <row r="240" hidden="1" customHeight="1" spans="1:10">
      <c r="A240" s="2">
        <v>197</v>
      </c>
      <c r="B240" s="5" t="s">
        <v>460</v>
      </c>
      <c r="F240" s="5" t="s">
        <v>147</v>
      </c>
      <c r="G240" s="2">
        <v>1</v>
      </c>
      <c r="H240" s="5" t="s">
        <v>13</v>
      </c>
      <c r="I240" s="5" t="s">
        <v>414</v>
      </c>
      <c r="J240" s="5" t="s">
        <v>457</v>
      </c>
    </row>
    <row r="241" hidden="1" customHeight="1" spans="1:10">
      <c r="A241" s="2">
        <v>350</v>
      </c>
      <c r="B241" s="7" t="s">
        <v>461</v>
      </c>
      <c r="C241" s="10" t="s">
        <v>462</v>
      </c>
      <c r="D241" s="7" t="str">
        <f>_xlfn.DISPIMG("ID_BE09F165F84447B49DE45441C5EAF3D2",1)</f>
        <v>=DISPIMG("ID_BE09F165F84447B49DE45441C5EAF3D2",1)</v>
      </c>
      <c r="E241" s="7">
        <v>99</v>
      </c>
      <c r="F241" s="7" t="s">
        <v>50</v>
      </c>
      <c r="G241" s="7">
        <v>1</v>
      </c>
      <c r="H241" s="11" t="s">
        <v>13</v>
      </c>
      <c r="I241" s="11" t="s">
        <v>414</v>
      </c>
      <c r="J241" s="5" t="s">
        <v>463</v>
      </c>
    </row>
    <row r="242" hidden="1" customHeight="1" spans="1:10">
      <c r="A242" s="2">
        <v>436</v>
      </c>
      <c r="B242" s="7" t="s">
        <v>464</v>
      </c>
      <c r="C242" s="18" t="s">
        <v>465</v>
      </c>
      <c r="D242" s="7" t="str">
        <f>_xlfn.DISPIMG("ID_398B48234CE64F83ADF6A7983146D355",1)</f>
        <v>=DISPIMG("ID_398B48234CE64F83ADF6A7983146D355",1)</v>
      </c>
      <c r="E242" s="7"/>
      <c r="F242" s="7" t="s">
        <v>45</v>
      </c>
      <c r="G242" s="7">
        <v>1</v>
      </c>
      <c r="H242" s="11" t="s">
        <v>13</v>
      </c>
      <c r="I242" s="11" t="s">
        <v>414</v>
      </c>
      <c r="J242" s="11" t="s">
        <v>41</v>
      </c>
    </row>
    <row r="243" hidden="1" customHeight="1" spans="1:10">
      <c r="A243" s="2">
        <v>453</v>
      </c>
      <c r="B243" s="7" t="s">
        <v>466</v>
      </c>
      <c r="C243" s="7" t="s">
        <v>467</v>
      </c>
      <c r="D243" s="7" t="str">
        <f>_xlfn.DISPIMG("ID_CC6C6644365646B29F8F648D3E208FDE",1)</f>
        <v>=DISPIMG("ID_CC6C6644365646B29F8F648D3E208FDE",1)</v>
      </c>
      <c r="E243" s="22">
        <v>0.98</v>
      </c>
      <c r="F243" s="7" t="s">
        <v>175</v>
      </c>
      <c r="G243" s="7">
        <v>1</v>
      </c>
      <c r="H243" s="11" t="s">
        <v>13</v>
      </c>
      <c r="I243" s="11" t="s">
        <v>414</v>
      </c>
      <c r="J243" s="5" t="s">
        <v>58</v>
      </c>
    </row>
    <row r="244" hidden="1" customHeight="1" spans="1:10">
      <c r="A244" s="2">
        <v>545</v>
      </c>
      <c r="B244" s="7" t="s">
        <v>468</v>
      </c>
      <c r="C244" s="7" t="s">
        <v>469</v>
      </c>
      <c r="D244" s="7" t="str">
        <f>_xlfn.DISPIMG("ID_849A0785B66B4A6491EAF81FB3C408DB",1)</f>
        <v>=DISPIMG("ID_849A0785B66B4A6491EAF81FB3C408DB",1)</v>
      </c>
      <c r="E244" s="22">
        <v>0.99</v>
      </c>
      <c r="F244" s="7" t="s">
        <v>12</v>
      </c>
      <c r="G244" s="7">
        <v>1</v>
      </c>
      <c r="H244" s="11" t="s">
        <v>13</v>
      </c>
      <c r="I244" s="11" t="s">
        <v>414</v>
      </c>
      <c r="J244" s="11" t="s">
        <v>196</v>
      </c>
    </row>
    <row r="245" hidden="1" customHeight="1" spans="1:10">
      <c r="A245" s="2">
        <v>640</v>
      </c>
      <c r="B245" s="7" t="s">
        <v>470</v>
      </c>
      <c r="C245" s="7" t="s">
        <v>471</v>
      </c>
      <c r="D245" s="7" t="str">
        <f>_xlfn.DISPIMG("ID_0CADF61986F840508144DF2053A61E98",1)</f>
        <v>=DISPIMG("ID_0CADF61986F840508144DF2053A61E98",1)</v>
      </c>
      <c r="E245" s="23">
        <v>0.9986</v>
      </c>
      <c r="F245" s="7"/>
      <c r="G245" s="7">
        <v>1</v>
      </c>
      <c r="H245" s="11" t="s">
        <v>13</v>
      </c>
      <c r="I245" s="11" t="s">
        <v>414</v>
      </c>
      <c r="J245" s="11" t="s">
        <v>225</v>
      </c>
    </row>
    <row r="246" hidden="1" customHeight="1" spans="1:10">
      <c r="A246" s="2">
        <v>641</v>
      </c>
      <c r="B246" s="7" t="s">
        <v>472</v>
      </c>
      <c r="C246" s="7" t="s">
        <v>473</v>
      </c>
      <c r="D246" s="7" t="str">
        <f>_xlfn.DISPIMG("ID_52C2CBF3C7424594BB335F61C0A4B7D9",1)</f>
        <v>=DISPIMG("ID_52C2CBF3C7424594BB335F61C0A4B7D9",1)</v>
      </c>
      <c r="E246" s="22">
        <v>0.95</v>
      </c>
      <c r="F246" s="7" t="s">
        <v>175</v>
      </c>
      <c r="G246" s="7">
        <v>1</v>
      </c>
      <c r="H246" s="11" t="s">
        <v>13</v>
      </c>
      <c r="I246" s="11" t="s">
        <v>414</v>
      </c>
      <c r="J246" s="11" t="s">
        <v>225</v>
      </c>
    </row>
    <row r="247" hidden="1" customHeight="1" spans="1:10">
      <c r="A247" s="2">
        <v>642</v>
      </c>
      <c r="B247" s="7" t="s">
        <v>474</v>
      </c>
      <c r="C247" s="7" t="s">
        <v>475</v>
      </c>
      <c r="D247" s="7" t="str">
        <f>_xlfn.DISPIMG("ID_E52DEDA1D4B549759CE92841905715D8",1)</f>
        <v>=DISPIMG("ID_E52DEDA1D4B549759CE92841905715D8",1)</v>
      </c>
      <c r="E247" s="23">
        <v>0.987</v>
      </c>
      <c r="F247" s="7" t="s">
        <v>45</v>
      </c>
      <c r="G247" s="7">
        <v>1</v>
      </c>
      <c r="H247" s="11" t="s">
        <v>13</v>
      </c>
      <c r="I247" s="11" t="s">
        <v>414</v>
      </c>
      <c r="J247" s="11" t="s">
        <v>225</v>
      </c>
    </row>
    <row r="248" hidden="1" customHeight="1" spans="1:10">
      <c r="A248" s="2">
        <v>643</v>
      </c>
      <c r="B248" s="7" t="s">
        <v>476</v>
      </c>
      <c r="C248" s="7" t="s">
        <v>477</v>
      </c>
      <c r="D248" s="7" t="str">
        <f>_xlfn.DISPIMG("ID_3AC13FBB15D6477FBEC7F6C980C73F5C",1)</f>
        <v>=DISPIMG("ID_3AC13FBB15D6477FBEC7F6C980C73F5C",1)</v>
      </c>
      <c r="E248" s="22">
        <v>0.95</v>
      </c>
      <c r="F248" s="7"/>
      <c r="G248" s="7">
        <v>1</v>
      </c>
      <c r="H248" s="11" t="s">
        <v>13</v>
      </c>
      <c r="I248" s="11" t="s">
        <v>414</v>
      </c>
      <c r="J248" s="11" t="s">
        <v>225</v>
      </c>
    </row>
    <row r="249" hidden="1" customHeight="1" spans="1:10">
      <c r="A249" s="2">
        <v>644</v>
      </c>
      <c r="B249" s="7" t="s">
        <v>478</v>
      </c>
      <c r="C249" s="7" t="s">
        <v>479</v>
      </c>
      <c r="D249" s="7" t="str">
        <f>_xlfn.DISPIMG("ID_E644DF381C7D4EB3AFA007AC5D1EF070",1)</f>
        <v>=DISPIMG("ID_E644DF381C7D4EB3AFA007AC5D1EF070",1)</v>
      </c>
      <c r="E249" s="23">
        <v>0.9988</v>
      </c>
      <c r="F249" s="7"/>
      <c r="G249" s="7">
        <v>1</v>
      </c>
      <c r="H249" s="11" t="s">
        <v>13</v>
      </c>
      <c r="I249" s="11" t="s">
        <v>414</v>
      </c>
      <c r="J249" s="11" t="s">
        <v>225</v>
      </c>
    </row>
    <row r="250" hidden="1" customHeight="1" spans="1:10">
      <c r="A250" s="2">
        <v>645</v>
      </c>
      <c r="B250" s="7" t="s">
        <v>480</v>
      </c>
      <c r="C250" s="7" t="s">
        <v>481</v>
      </c>
      <c r="D250" s="7" t="str">
        <f>_xlfn.DISPIMG("ID_87F2F4399C4444939622DE2608967297",1)</f>
        <v>=DISPIMG("ID_87F2F4399C4444939622DE2608967297",1)</v>
      </c>
      <c r="E250" s="22">
        <v>0.98</v>
      </c>
      <c r="F250" s="7" t="s">
        <v>23</v>
      </c>
      <c r="G250" s="7">
        <v>1</v>
      </c>
      <c r="H250" s="11" t="s">
        <v>13</v>
      </c>
      <c r="I250" s="11" t="s">
        <v>414</v>
      </c>
      <c r="J250" s="11" t="s">
        <v>225</v>
      </c>
    </row>
    <row r="251" hidden="1" customHeight="1" spans="1:10">
      <c r="A251" s="2">
        <v>646</v>
      </c>
      <c r="B251" s="7" t="s">
        <v>482</v>
      </c>
      <c r="C251" s="7" t="s">
        <v>483</v>
      </c>
      <c r="D251" s="7" t="str">
        <f>_xlfn.DISPIMG("ID_076CCD217C814A2AB8D8F332CE3B30A3",1)</f>
        <v>=DISPIMG("ID_076CCD217C814A2AB8D8F332CE3B30A3",1)</v>
      </c>
      <c r="E251" s="22">
        <v>0.98</v>
      </c>
      <c r="F251" s="7" t="s">
        <v>45</v>
      </c>
      <c r="G251" s="7">
        <v>1</v>
      </c>
      <c r="H251" s="11" t="s">
        <v>13</v>
      </c>
      <c r="I251" s="11" t="s">
        <v>414</v>
      </c>
      <c r="J251" s="11" t="s">
        <v>225</v>
      </c>
    </row>
    <row r="252" hidden="1" customHeight="1" spans="1:10">
      <c r="A252" s="2">
        <v>647</v>
      </c>
      <c r="B252" s="7" t="s">
        <v>484</v>
      </c>
      <c r="C252" s="7" t="s">
        <v>485</v>
      </c>
      <c r="D252" s="7" t="str">
        <f>_xlfn.DISPIMG("ID_F5502E9F134B4B459B372CC92F53BEFE",1)</f>
        <v>=DISPIMG("ID_F5502E9F134B4B459B372CC92F53BEFE",1)</v>
      </c>
      <c r="E252" s="22">
        <v>0.99</v>
      </c>
      <c r="F252" s="7" t="s">
        <v>45</v>
      </c>
      <c r="G252" s="7">
        <v>1</v>
      </c>
      <c r="H252" s="11" t="s">
        <v>13</v>
      </c>
      <c r="I252" s="11" t="s">
        <v>414</v>
      </c>
      <c r="J252" s="11" t="s">
        <v>225</v>
      </c>
    </row>
    <row r="253" hidden="1" customHeight="1" spans="2:10">
      <c r="B253" s="32" t="s">
        <v>486</v>
      </c>
      <c r="C253" s="31" t="s">
        <v>487</v>
      </c>
      <c r="D253" s="31" t="e">
        <f>_xlfn.DISPIMG("ID_9D6CE46BFF34400A9D5706BF0A975FF2",1)</f>
        <v>#REF!</v>
      </c>
      <c r="E253" s="35">
        <v>0.98</v>
      </c>
      <c r="F253" s="31" t="s">
        <v>45</v>
      </c>
      <c r="G253" s="31">
        <v>1</v>
      </c>
      <c r="H253" s="36" t="s">
        <v>272</v>
      </c>
      <c r="I253" s="32" t="s">
        <v>488</v>
      </c>
      <c r="J253" s="31" t="s">
        <v>319</v>
      </c>
    </row>
    <row r="254" hidden="1" customHeight="1" spans="1:10">
      <c r="A254" s="2">
        <v>198</v>
      </c>
      <c r="B254" s="5" t="s">
        <v>489</v>
      </c>
      <c r="E254" s="20">
        <v>0.99</v>
      </c>
      <c r="F254" s="5" t="s">
        <v>45</v>
      </c>
      <c r="G254" s="2">
        <v>1</v>
      </c>
      <c r="H254" s="5" t="s">
        <v>13</v>
      </c>
      <c r="I254" s="5" t="s">
        <v>490</v>
      </c>
      <c r="J254" s="5" t="s">
        <v>457</v>
      </c>
    </row>
    <row r="255" hidden="1" customHeight="1" spans="2:10">
      <c r="B255" s="40" t="s">
        <v>491</v>
      </c>
      <c r="C255" s="2" t="s">
        <v>492</v>
      </c>
      <c r="D255" s="2" t="str">
        <f>_xlfn.DISPIMG("ID_99DBA1FDDE1440F39B1F1CC7022C2A4B",1)</f>
        <v>=DISPIMG("ID_99DBA1FDDE1440F39B1F1CC7022C2A4B",1)</v>
      </c>
      <c r="E255" s="28">
        <v>0.98</v>
      </c>
      <c r="F255" s="5" t="s">
        <v>23</v>
      </c>
      <c r="G255" s="2">
        <v>1</v>
      </c>
      <c r="H255" s="5" t="s">
        <v>272</v>
      </c>
      <c r="I255" s="5" t="s">
        <v>493</v>
      </c>
      <c r="J255" s="5" t="s">
        <v>104</v>
      </c>
    </row>
    <row r="256" hidden="1" customHeight="1" spans="2:10">
      <c r="B256" s="40" t="s">
        <v>494</v>
      </c>
      <c r="C256" s="16" t="s">
        <v>495</v>
      </c>
      <c r="D256" s="2" t="str">
        <f>_xlfn.DISPIMG("ID_C219F1FB8207463FACE2846FED802B1F",1)</f>
        <v>=DISPIMG("ID_C219F1FB8207463FACE2846FED802B1F",1)</v>
      </c>
      <c r="E256" s="20">
        <v>0.98</v>
      </c>
      <c r="F256" s="5" t="s">
        <v>23</v>
      </c>
      <c r="G256" s="2">
        <v>1</v>
      </c>
      <c r="H256" s="5" t="s">
        <v>272</v>
      </c>
      <c r="I256" s="5" t="s">
        <v>493</v>
      </c>
      <c r="J256" s="5" t="s">
        <v>104</v>
      </c>
    </row>
    <row r="257" hidden="1" customHeight="1" spans="2:10">
      <c r="B257" s="40" t="s">
        <v>496</v>
      </c>
      <c r="C257" s="2" t="s">
        <v>497</v>
      </c>
      <c r="D257" s="2" t="str">
        <f>_xlfn.DISPIMG("ID_C0AB42AEB6A24AAEB9F1DA340639DE47",1)</f>
        <v>=DISPIMG("ID_C0AB42AEB6A24AAEB9F1DA340639DE47",1)</v>
      </c>
      <c r="E257" s="20">
        <v>0.98</v>
      </c>
      <c r="F257" s="5" t="s">
        <v>27</v>
      </c>
      <c r="G257" s="2">
        <v>1</v>
      </c>
      <c r="H257" s="5" t="s">
        <v>272</v>
      </c>
      <c r="I257" s="5" t="s">
        <v>493</v>
      </c>
      <c r="J257" s="5" t="s">
        <v>104</v>
      </c>
    </row>
    <row r="258" hidden="1" customHeight="1" spans="2:10">
      <c r="B258" s="40" t="s">
        <v>498</v>
      </c>
      <c r="C258" s="2" t="s">
        <v>499</v>
      </c>
      <c r="D258" s="2" t="str">
        <f>_xlfn.DISPIMG("ID_64175DFE4F2D413F87A11890F0283F8B",1)</f>
        <v>=DISPIMG("ID_64175DFE4F2D413F87A11890F0283F8B",1)</v>
      </c>
      <c r="E258" s="20">
        <v>0.98</v>
      </c>
      <c r="F258" s="5" t="s">
        <v>27</v>
      </c>
      <c r="G258" s="2">
        <v>1</v>
      </c>
      <c r="H258" s="5" t="s">
        <v>272</v>
      </c>
      <c r="I258" s="5" t="s">
        <v>493</v>
      </c>
      <c r="J258" s="5" t="s">
        <v>104</v>
      </c>
    </row>
    <row r="259" hidden="1" customHeight="1" spans="2:10">
      <c r="B259" s="40" t="s">
        <v>500</v>
      </c>
      <c r="C259" s="2" t="s">
        <v>501</v>
      </c>
      <c r="D259" s="2" t="str">
        <f>_xlfn.DISPIMG("ID_8C4368F689A443099CB6E1366F42AE89",1)</f>
        <v>=DISPIMG("ID_8C4368F689A443099CB6E1366F42AE89",1)</v>
      </c>
      <c r="E259" s="28">
        <v>0.98</v>
      </c>
      <c r="F259" s="5" t="s">
        <v>45</v>
      </c>
      <c r="G259" s="2">
        <v>1</v>
      </c>
      <c r="H259" s="5" t="s">
        <v>272</v>
      </c>
      <c r="I259" s="5" t="s">
        <v>493</v>
      </c>
      <c r="J259" s="5" t="s">
        <v>104</v>
      </c>
    </row>
    <row r="260" hidden="1" customHeight="1" spans="1:10">
      <c r="A260" s="2">
        <v>145</v>
      </c>
      <c r="B260" s="7" t="s">
        <v>502</v>
      </c>
      <c r="C260" s="7" t="s">
        <v>503</v>
      </c>
      <c r="D260" s="7" t="str">
        <f>_xlfn.DISPIMG("ID_3841FDAF4D7842F284ACD40DD7D2BA11",1)</f>
        <v>=DISPIMG("ID_3841FDAF4D7842F284ACD40DD7D2BA11",1)</v>
      </c>
      <c r="E260" s="23">
        <v>0.9978</v>
      </c>
      <c r="F260" s="7" t="s">
        <v>23</v>
      </c>
      <c r="G260" s="7">
        <v>1</v>
      </c>
      <c r="H260" s="11" t="s">
        <v>13</v>
      </c>
      <c r="I260" s="11" t="s">
        <v>504</v>
      </c>
      <c r="J260" s="5" t="s">
        <v>505</v>
      </c>
    </row>
    <row r="261" hidden="1" customHeight="1" spans="1:10">
      <c r="A261" s="2">
        <v>146</v>
      </c>
      <c r="B261" s="7" t="s">
        <v>506</v>
      </c>
      <c r="C261" s="7" t="s">
        <v>507</v>
      </c>
      <c r="D261" s="7" t="str">
        <f>_xlfn.DISPIMG("ID_04017A09117F4A64AD99CD350E6ABA21",1)</f>
        <v>=DISPIMG("ID_04017A09117F4A64AD99CD350E6ABA21",1)</v>
      </c>
      <c r="E261" s="22">
        <v>0.98</v>
      </c>
      <c r="F261" s="7" t="s">
        <v>23</v>
      </c>
      <c r="G261" s="7">
        <v>1</v>
      </c>
      <c r="H261" s="11" t="s">
        <v>13</v>
      </c>
      <c r="I261" s="11" t="s">
        <v>504</v>
      </c>
      <c r="J261" s="5" t="s">
        <v>505</v>
      </c>
    </row>
    <row r="262" hidden="1" customHeight="1" spans="1:10">
      <c r="A262" s="2">
        <v>149</v>
      </c>
      <c r="B262" s="5" t="s">
        <v>508</v>
      </c>
      <c r="C262" s="15" t="s">
        <v>509</v>
      </c>
      <c r="H262" s="11" t="s">
        <v>13</v>
      </c>
      <c r="I262" s="2" t="s">
        <v>510</v>
      </c>
      <c r="J262" s="2" t="s">
        <v>511</v>
      </c>
    </row>
    <row r="263" hidden="1" customHeight="1" spans="1:10">
      <c r="A263" s="2">
        <v>150</v>
      </c>
      <c r="B263" s="5" t="s">
        <v>508</v>
      </c>
      <c r="C263" s="15" t="s">
        <v>509</v>
      </c>
      <c r="D263" s="2" t="str">
        <f>_xlfn.DISPIMG("ID_68653EE0E1CC4AD9A19ADB3D88629635",1)</f>
        <v>=DISPIMG("ID_68653EE0E1CC4AD9A19ADB3D88629635",1)</v>
      </c>
      <c r="H263" s="11" t="s">
        <v>13</v>
      </c>
      <c r="I263" s="2" t="s">
        <v>510</v>
      </c>
      <c r="J263" s="5" t="s">
        <v>512</v>
      </c>
    </row>
    <row r="264" hidden="1" customHeight="1" spans="1:10">
      <c r="A264" s="2">
        <v>151</v>
      </c>
      <c r="B264" s="5" t="s">
        <v>508</v>
      </c>
      <c r="C264" s="15" t="s">
        <v>509</v>
      </c>
      <c r="D264" s="2" t="str">
        <f>_xlfn.DISPIMG("ID_A8F471125E4440F09543B01FB4A8FE71",1)</f>
        <v>=DISPIMG("ID_A8F471125E4440F09543B01FB4A8FE71",1)</v>
      </c>
      <c r="H264" s="11" t="s">
        <v>13</v>
      </c>
      <c r="I264" s="2" t="s">
        <v>510</v>
      </c>
      <c r="J264" s="5" t="s">
        <v>512</v>
      </c>
    </row>
    <row r="265" s="2" customFormat="1" hidden="1" customHeight="1" spans="1:10">
      <c r="A265" s="2">
        <v>167</v>
      </c>
      <c r="B265" s="5" t="s">
        <v>508</v>
      </c>
      <c r="C265" s="16">
        <v>27522</v>
      </c>
      <c r="D265" s="2" t="str">
        <f>_xlfn.DISPIMG("ID_A3F218A45AE94E02A8B7AB8D53002D8A",1)</f>
        <v>=DISPIMG("ID_A3F218A45AE94E02A8B7AB8D53002D8A",1)</v>
      </c>
      <c r="G265" s="7">
        <v>1</v>
      </c>
      <c r="H265" s="11" t="s">
        <v>13</v>
      </c>
      <c r="I265" s="5" t="s">
        <v>504</v>
      </c>
      <c r="J265" s="5" t="s">
        <v>402</v>
      </c>
    </row>
    <row r="266" hidden="1" customHeight="1" spans="1:10">
      <c r="A266" s="2">
        <v>175</v>
      </c>
      <c r="B266" s="7" t="s">
        <v>513</v>
      </c>
      <c r="C266" s="14">
        <v>27522</v>
      </c>
      <c r="D266" s="7" t="s">
        <v>514</v>
      </c>
      <c r="E266" s="7"/>
      <c r="F266" s="7"/>
      <c r="G266" s="7">
        <v>1</v>
      </c>
      <c r="H266" s="11" t="s">
        <v>13</v>
      </c>
      <c r="I266" s="11" t="s">
        <v>504</v>
      </c>
      <c r="J266" s="5" t="s">
        <v>440</v>
      </c>
    </row>
    <row r="267" hidden="1" customHeight="1" spans="1:10">
      <c r="A267" s="2">
        <v>176</v>
      </c>
      <c r="B267" s="7" t="s">
        <v>513</v>
      </c>
      <c r="C267" s="14">
        <v>27522</v>
      </c>
      <c r="D267" s="7" t="s">
        <v>514</v>
      </c>
      <c r="E267" s="22">
        <v>0.99</v>
      </c>
      <c r="F267" s="7" t="s">
        <v>12</v>
      </c>
      <c r="G267" s="7">
        <v>1</v>
      </c>
      <c r="H267" s="11" t="s">
        <v>13</v>
      </c>
      <c r="I267" s="11" t="s">
        <v>504</v>
      </c>
      <c r="J267" s="2" t="s">
        <v>515</v>
      </c>
    </row>
    <row r="268" hidden="1" customHeight="1" spans="1:10">
      <c r="A268" s="2">
        <v>199</v>
      </c>
      <c r="B268" s="7" t="s">
        <v>516</v>
      </c>
      <c r="C268" s="7" t="s">
        <v>517</v>
      </c>
      <c r="D268" s="7" t="str">
        <f>_xlfn.DISPIMG("ID_7B025702AD624318B0AA44E0E40F18EF",1)</f>
        <v>=DISPIMG("ID_7B025702AD624318B0AA44E0E40F18EF",1)</v>
      </c>
      <c r="E268" s="22">
        <v>0.99</v>
      </c>
      <c r="F268" s="7" t="s">
        <v>161</v>
      </c>
      <c r="G268" s="7">
        <v>1</v>
      </c>
      <c r="H268" s="11" t="s">
        <v>13</v>
      </c>
      <c r="I268" s="11" t="s">
        <v>504</v>
      </c>
      <c r="J268" s="5" t="s">
        <v>518</v>
      </c>
    </row>
    <row r="269" hidden="1" customHeight="1" spans="1:10">
      <c r="A269" s="2">
        <v>200</v>
      </c>
      <c r="B269" s="7" t="s">
        <v>519</v>
      </c>
      <c r="C269" s="7" t="s">
        <v>520</v>
      </c>
      <c r="D269" s="7" t="str">
        <f>_xlfn.DISPIMG("ID_C450F98022D54943A6A0ED64E6810298",1)</f>
        <v>=DISPIMG("ID_C450F98022D54943A6A0ED64E6810298",1)</v>
      </c>
      <c r="E269" s="22">
        <v>0.98</v>
      </c>
      <c r="F269" s="7" t="s">
        <v>23</v>
      </c>
      <c r="G269" s="7">
        <v>1</v>
      </c>
      <c r="H269" s="11" t="s">
        <v>13</v>
      </c>
      <c r="I269" s="11" t="s">
        <v>504</v>
      </c>
      <c r="J269" s="5" t="s">
        <v>518</v>
      </c>
    </row>
    <row r="270" hidden="1" customHeight="1" spans="1:10">
      <c r="A270" s="2">
        <v>201</v>
      </c>
      <c r="B270" s="7" t="s">
        <v>513</v>
      </c>
      <c r="C270" s="15" t="s">
        <v>509</v>
      </c>
      <c r="D270" s="7" t="str">
        <f>_xlfn.DISPIMG("ID_EDC98AE6F9DD4BCAA5AF4746192E9733",1)</f>
        <v>=DISPIMG("ID_EDC98AE6F9DD4BCAA5AF4746192E9733",1)</v>
      </c>
      <c r="E270" s="23">
        <v>0.995</v>
      </c>
      <c r="F270" s="7" t="s">
        <v>12</v>
      </c>
      <c r="G270" s="7">
        <v>1</v>
      </c>
      <c r="H270" s="11" t="s">
        <v>13</v>
      </c>
      <c r="I270" s="11" t="s">
        <v>504</v>
      </c>
      <c r="J270" s="5" t="s">
        <v>518</v>
      </c>
    </row>
    <row r="271" hidden="1" customHeight="1" spans="1:10">
      <c r="A271" s="2">
        <v>202</v>
      </c>
      <c r="B271" s="7" t="s">
        <v>521</v>
      </c>
      <c r="C271" s="7" t="s">
        <v>522</v>
      </c>
      <c r="D271" s="7" t="str">
        <f>_xlfn.DISPIMG("ID_8BD824F094BA4A399FFADEB8DA351EA7",1)</f>
        <v>=DISPIMG("ID_8BD824F094BA4A399FFADEB8DA351EA7",1)</v>
      </c>
      <c r="E271" s="22">
        <v>0.99</v>
      </c>
      <c r="F271" s="7" t="s">
        <v>12</v>
      </c>
      <c r="G271" s="7">
        <v>2</v>
      </c>
      <c r="H271" s="11" t="s">
        <v>13</v>
      </c>
      <c r="I271" s="11" t="s">
        <v>504</v>
      </c>
      <c r="J271" s="5" t="s">
        <v>518</v>
      </c>
    </row>
    <row r="272" hidden="1" customHeight="1" spans="1:10">
      <c r="A272" s="2">
        <v>204</v>
      </c>
      <c r="B272" s="2" t="s">
        <v>523</v>
      </c>
      <c r="C272" s="5" t="s">
        <v>524</v>
      </c>
      <c r="D272" s="2" t="str">
        <f>_xlfn.DISPIMG("ID_41D8E197D70A4F929FBED9AD5EFE7FC6",1)</f>
        <v>=DISPIMG("ID_41D8E197D70A4F929FBED9AD5EFE7FC6",1)</v>
      </c>
      <c r="E272" s="20">
        <v>0.98</v>
      </c>
      <c r="F272" s="5" t="s">
        <v>45</v>
      </c>
      <c r="G272" s="2">
        <v>1</v>
      </c>
      <c r="I272" s="5" t="s">
        <v>504</v>
      </c>
      <c r="J272" s="5" t="s">
        <v>525</v>
      </c>
    </row>
    <row r="273" hidden="1" customHeight="1" spans="1:10">
      <c r="A273" s="2">
        <v>205</v>
      </c>
      <c r="B273" s="7" t="s">
        <v>526</v>
      </c>
      <c r="C273" s="7" t="s">
        <v>527</v>
      </c>
      <c r="D273" s="7" t="str">
        <f>_xlfn.DISPIMG("ID_53EB345359844ABD8C31AE5DB5B919AE",1)</f>
        <v>=DISPIMG("ID_53EB345359844ABD8C31AE5DB5B919AE",1)</v>
      </c>
      <c r="E273" s="23">
        <v>0.9998</v>
      </c>
      <c r="F273" s="7" t="s">
        <v>23</v>
      </c>
      <c r="G273" s="7">
        <v>1</v>
      </c>
      <c r="H273" s="11" t="s">
        <v>13</v>
      </c>
      <c r="I273" s="11" t="s">
        <v>504</v>
      </c>
      <c r="J273" s="5" t="s">
        <v>528</v>
      </c>
    </row>
    <row r="274" hidden="1" customHeight="1" spans="1:10">
      <c r="A274" s="2">
        <v>206</v>
      </c>
      <c r="B274" s="7" t="s">
        <v>529</v>
      </c>
      <c r="C274" s="7" t="s">
        <v>530</v>
      </c>
      <c r="D274" s="7" t="str">
        <f>_xlfn.DISPIMG("ID_82ADC7A094A64823A1004B527A1FC26B",1)</f>
        <v>=DISPIMG("ID_82ADC7A094A64823A1004B527A1FC26B",1)</v>
      </c>
      <c r="E274" s="22">
        <v>0.98</v>
      </c>
      <c r="F274" s="7" t="s">
        <v>23</v>
      </c>
      <c r="G274" s="7">
        <v>1</v>
      </c>
      <c r="H274" s="11" t="s">
        <v>13</v>
      </c>
      <c r="I274" s="11" t="s">
        <v>504</v>
      </c>
      <c r="J274" s="5" t="s">
        <v>528</v>
      </c>
    </row>
    <row r="275" hidden="1" customHeight="1" spans="1:10">
      <c r="A275" s="2">
        <v>207</v>
      </c>
      <c r="B275" s="7" t="s">
        <v>531</v>
      </c>
      <c r="C275" s="7" t="s">
        <v>532</v>
      </c>
      <c r="D275" s="7" t="str">
        <f>_xlfn.DISPIMG("ID_656C6BB1C038452391849E210F52556A",1)</f>
        <v>=DISPIMG("ID_656C6BB1C038452391849E210F52556A",1)</v>
      </c>
      <c r="E275" s="22">
        <v>0.98</v>
      </c>
      <c r="F275" s="7" t="s">
        <v>27</v>
      </c>
      <c r="G275" s="7">
        <v>1</v>
      </c>
      <c r="H275" s="11" t="s">
        <v>13</v>
      </c>
      <c r="I275" s="11" t="s">
        <v>504</v>
      </c>
      <c r="J275" s="5" t="s">
        <v>528</v>
      </c>
    </row>
    <row r="276" hidden="1" customHeight="1" spans="1:10">
      <c r="A276" s="2">
        <v>208</v>
      </c>
      <c r="B276" s="7" t="s">
        <v>533</v>
      </c>
      <c r="C276" s="7" t="s">
        <v>534</v>
      </c>
      <c r="D276" s="7" t="str">
        <f>_xlfn.DISPIMG("ID_54CEAB58E3524ED18D868E4F86C2563E",1)</f>
        <v>=DISPIMG("ID_54CEAB58E3524ED18D868E4F86C2563E",1)</v>
      </c>
      <c r="E276" s="22">
        <v>0.97</v>
      </c>
      <c r="F276" s="7" t="s">
        <v>45</v>
      </c>
      <c r="G276" s="7">
        <v>1</v>
      </c>
      <c r="H276" s="11" t="s">
        <v>13</v>
      </c>
      <c r="I276" s="11" t="s">
        <v>504</v>
      </c>
      <c r="J276" s="5" t="s">
        <v>528</v>
      </c>
    </row>
    <row r="277" hidden="1" customHeight="1" spans="1:10">
      <c r="A277" s="2">
        <v>209</v>
      </c>
      <c r="B277" s="7" t="s">
        <v>535</v>
      </c>
      <c r="C277" s="7" t="s">
        <v>536</v>
      </c>
      <c r="D277" s="7" t="str">
        <f>_xlfn.DISPIMG("ID_99E76338E3714337AEF9D42FC23D2C36",1)</f>
        <v>=DISPIMG("ID_99E76338E3714337AEF9D42FC23D2C36",1)</v>
      </c>
      <c r="E277" s="22">
        <v>0.98</v>
      </c>
      <c r="F277" s="7" t="s">
        <v>45</v>
      </c>
      <c r="G277" s="7">
        <v>1</v>
      </c>
      <c r="H277" s="11" t="s">
        <v>13</v>
      </c>
      <c r="I277" s="11" t="s">
        <v>504</v>
      </c>
      <c r="J277" s="5" t="s">
        <v>528</v>
      </c>
    </row>
    <row r="278" hidden="1" customHeight="1" spans="1:10">
      <c r="A278" s="2">
        <v>210</v>
      </c>
      <c r="B278" s="7" t="s">
        <v>537</v>
      </c>
      <c r="C278" s="7" t="s">
        <v>538</v>
      </c>
      <c r="D278" s="7" t="str">
        <f>_xlfn.DISPIMG("ID_4E12436E880C405A9344B4D5CCF7C83B",1)</f>
        <v>=DISPIMG("ID_4E12436E880C405A9344B4D5CCF7C83B",1)</v>
      </c>
      <c r="E278" s="22">
        <v>0.97</v>
      </c>
      <c r="F278" s="7" t="s">
        <v>161</v>
      </c>
      <c r="G278" s="7">
        <v>1</v>
      </c>
      <c r="H278" s="11" t="s">
        <v>13</v>
      </c>
      <c r="I278" s="11" t="s">
        <v>504</v>
      </c>
      <c r="J278" s="5" t="s">
        <v>528</v>
      </c>
    </row>
    <row r="279" hidden="1" customHeight="1" spans="1:10">
      <c r="A279" s="2">
        <v>211</v>
      </c>
      <c r="B279" s="7" t="s">
        <v>539</v>
      </c>
      <c r="C279" s="7" t="s">
        <v>540</v>
      </c>
      <c r="D279" s="7" t="str">
        <f>_xlfn.DISPIMG("ID_804EE9C48BBF473094340505EB38196A",1)</f>
        <v>=DISPIMG("ID_804EE9C48BBF473094340505EB38196A",1)</v>
      </c>
      <c r="E279" s="22">
        <v>0.97</v>
      </c>
      <c r="F279" s="7"/>
      <c r="G279" s="7">
        <v>1</v>
      </c>
      <c r="H279" s="11" t="s">
        <v>13</v>
      </c>
      <c r="I279" s="11" t="s">
        <v>504</v>
      </c>
      <c r="J279" s="5" t="s">
        <v>528</v>
      </c>
    </row>
    <row r="280" hidden="1" customHeight="1" spans="1:10">
      <c r="A280" s="2">
        <v>212</v>
      </c>
      <c r="B280" s="7" t="s">
        <v>541</v>
      </c>
      <c r="C280" s="7" t="s">
        <v>542</v>
      </c>
      <c r="D280" s="7" t="str">
        <f>_xlfn.DISPIMG("ID_E6C563DFCD2142B4A5C4B34D0516A8F8",1)</f>
        <v>=DISPIMG("ID_E6C563DFCD2142B4A5C4B34D0516A8F8",1)</v>
      </c>
      <c r="E280" s="22">
        <v>0.98</v>
      </c>
      <c r="F280" s="7" t="s">
        <v>23</v>
      </c>
      <c r="G280" s="7">
        <v>1</v>
      </c>
      <c r="H280" s="11" t="s">
        <v>13</v>
      </c>
      <c r="I280" s="11" t="s">
        <v>504</v>
      </c>
      <c r="J280" s="5" t="s">
        <v>528</v>
      </c>
    </row>
    <row r="281" hidden="1" customHeight="1" spans="1:10">
      <c r="A281" s="2">
        <v>213</v>
      </c>
      <c r="B281" s="7" t="s">
        <v>543</v>
      </c>
      <c r="C281" s="7" t="s">
        <v>544</v>
      </c>
      <c r="D281" s="7" t="str">
        <f>_xlfn.DISPIMG("ID_F0B43978E4A4446BB34674F313D9CF2E",1)</f>
        <v>=DISPIMG("ID_F0B43978E4A4446BB34674F313D9CF2E",1)</v>
      </c>
      <c r="E281" s="22">
        <v>0.95</v>
      </c>
      <c r="F281" s="7" t="s">
        <v>27</v>
      </c>
      <c r="G281" s="7">
        <v>1</v>
      </c>
      <c r="H281" s="11" t="s">
        <v>13</v>
      </c>
      <c r="I281" s="11" t="s">
        <v>504</v>
      </c>
      <c r="J281" s="5" t="s">
        <v>528</v>
      </c>
    </row>
    <row r="282" hidden="1" customHeight="1" spans="1:10">
      <c r="A282" s="2">
        <v>214</v>
      </c>
      <c r="B282" s="7" t="s">
        <v>545</v>
      </c>
      <c r="C282" s="7" t="s">
        <v>546</v>
      </c>
      <c r="D282" s="7" t="str">
        <f>_xlfn.DISPIMG("ID_872CBB0D67A04704A30A2A8407C21553",1)</f>
        <v>=DISPIMG("ID_872CBB0D67A04704A30A2A8407C21553",1)</v>
      </c>
      <c r="E282" s="22">
        <v>0.99</v>
      </c>
      <c r="F282" s="7" t="s">
        <v>23</v>
      </c>
      <c r="G282" s="7">
        <v>1</v>
      </c>
      <c r="H282" s="11" t="s">
        <v>13</v>
      </c>
      <c r="I282" s="11" t="s">
        <v>504</v>
      </c>
      <c r="J282" s="5" t="s">
        <v>528</v>
      </c>
    </row>
    <row r="283" hidden="1" customHeight="1" spans="1:10">
      <c r="A283" s="2">
        <v>216</v>
      </c>
      <c r="B283" s="7" t="s">
        <v>547</v>
      </c>
      <c r="C283" s="7" t="s">
        <v>548</v>
      </c>
      <c r="D283" s="7" t="str">
        <f>_xlfn.DISPIMG("ID_CF7DE16248954C8587281A121A335267",1)</f>
        <v>=DISPIMG("ID_CF7DE16248954C8587281A121A335267",1)</v>
      </c>
      <c r="E283" s="7"/>
      <c r="F283" s="7" t="s">
        <v>23</v>
      </c>
      <c r="G283" s="7">
        <v>1</v>
      </c>
      <c r="H283" s="11" t="s">
        <v>13</v>
      </c>
      <c r="I283" s="11" t="s">
        <v>504</v>
      </c>
      <c r="J283" s="5" t="s">
        <v>528</v>
      </c>
    </row>
    <row r="284" hidden="1" customHeight="1" spans="1:10">
      <c r="A284" s="2">
        <v>217</v>
      </c>
      <c r="B284" s="7" t="s">
        <v>549</v>
      </c>
      <c r="C284" s="7" t="s">
        <v>550</v>
      </c>
      <c r="D284" s="7" t="str">
        <f>_xlfn.DISPIMG("ID_A40244EC4BFE4D87BE31B09E8D959EB0",1)</f>
        <v>=DISPIMG("ID_A40244EC4BFE4D87BE31B09E8D959EB0",1)</v>
      </c>
      <c r="E284" s="22">
        <v>0.98</v>
      </c>
      <c r="F284" s="7" t="s">
        <v>551</v>
      </c>
      <c r="G284" s="7">
        <v>1</v>
      </c>
      <c r="H284" s="11" t="s">
        <v>13</v>
      </c>
      <c r="I284" s="11" t="s">
        <v>504</v>
      </c>
      <c r="J284" s="5" t="s">
        <v>528</v>
      </c>
    </row>
    <row r="285" hidden="1" customHeight="1" spans="1:10">
      <c r="A285" s="2">
        <v>584</v>
      </c>
      <c r="B285" s="7" t="s">
        <v>552</v>
      </c>
      <c r="C285" s="7" t="s">
        <v>553</v>
      </c>
      <c r="D285" s="7" t="str">
        <f>_xlfn.DISPIMG("ID_DE40DE109500469694BA0FAC81360305",1)</f>
        <v>=DISPIMG("ID_DE40DE109500469694BA0FAC81360305",1)</v>
      </c>
      <c r="E285" s="22">
        <v>0.97</v>
      </c>
      <c r="F285" s="7" t="s">
        <v>45</v>
      </c>
      <c r="G285" s="7">
        <v>1</v>
      </c>
      <c r="H285" s="11" t="s">
        <v>13</v>
      </c>
      <c r="I285" s="11" t="s">
        <v>504</v>
      </c>
      <c r="J285" s="11" t="s">
        <v>221</v>
      </c>
    </row>
    <row r="286" hidden="1" customHeight="1" spans="1:10">
      <c r="A286" s="2">
        <v>194</v>
      </c>
      <c r="B286" s="5" t="s">
        <v>554</v>
      </c>
      <c r="C286" s="5" t="s">
        <v>555</v>
      </c>
      <c r="D286" s="7" t="str">
        <f>_xlfn.DISPIMG("ID_E3382B49E0C347B78747D3268C59554B",1)</f>
        <v>=DISPIMG("ID_E3382B49E0C347B78747D3268C59554B",1)</v>
      </c>
      <c r="E286" s="28">
        <v>0.99</v>
      </c>
      <c r="F286" s="5" t="s">
        <v>12</v>
      </c>
      <c r="I286" s="5" t="s">
        <v>556</v>
      </c>
      <c r="J286" s="5" t="s">
        <v>557</v>
      </c>
    </row>
    <row r="287" hidden="1" customHeight="1" spans="1:10">
      <c r="A287" s="2">
        <v>237</v>
      </c>
      <c r="B287" s="5" t="s">
        <v>558</v>
      </c>
      <c r="C287" s="5" t="s">
        <v>559</v>
      </c>
      <c r="D287" s="2" t="str">
        <f>_xlfn.DISPIMG("ID_E9F0B6DAFDD94878B68CF3AF389E1EE1",1)</f>
        <v>=DISPIMG("ID_E9F0B6DAFDD94878B68CF3AF389E1EE1",1)</v>
      </c>
      <c r="G287" s="2">
        <v>1</v>
      </c>
      <c r="H287" s="5" t="s">
        <v>13</v>
      </c>
      <c r="I287" s="5" t="s">
        <v>556</v>
      </c>
      <c r="J287" s="5" t="s">
        <v>560</v>
      </c>
    </row>
    <row r="288" hidden="1" customHeight="1" spans="1:10">
      <c r="A288" s="2">
        <v>238</v>
      </c>
      <c r="B288" s="7" t="s">
        <v>561</v>
      </c>
      <c r="C288" s="7" t="s">
        <v>555</v>
      </c>
      <c r="D288" s="7" t="str">
        <f>_xlfn.DISPIMG("ID_E3382B49E0C347B78747D3268C59554B",1)</f>
        <v>=DISPIMG("ID_E3382B49E0C347B78747D3268C59554B",1)</v>
      </c>
      <c r="E288" s="22">
        <v>0.95</v>
      </c>
      <c r="F288" s="7" t="s">
        <v>12</v>
      </c>
      <c r="G288" s="7">
        <v>1</v>
      </c>
      <c r="H288" s="11" t="s">
        <v>13</v>
      </c>
      <c r="I288" s="11" t="s">
        <v>556</v>
      </c>
      <c r="J288" s="5" t="s">
        <v>562</v>
      </c>
    </row>
    <row r="289" hidden="1" customHeight="1" spans="1:10">
      <c r="A289" s="2">
        <v>239</v>
      </c>
      <c r="B289" s="7" t="s">
        <v>563</v>
      </c>
      <c r="C289" s="7" t="s">
        <v>564</v>
      </c>
      <c r="D289" s="7" t="str">
        <f>_xlfn.DISPIMG("ID_D4C78891BC6F47FE8EBFCBE246CE5D0A",1)</f>
        <v>=DISPIMG("ID_D4C78891BC6F47FE8EBFCBE246CE5D0A",1)</v>
      </c>
      <c r="E289" s="23">
        <v>0.995</v>
      </c>
      <c r="F289" s="7" t="s">
        <v>12</v>
      </c>
      <c r="G289" s="7">
        <v>2</v>
      </c>
      <c r="H289" s="11" t="s">
        <v>13</v>
      </c>
      <c r="I289" s="11" t="s">
        <v>556</v>
      </c>
      <c r="J289" s="5" t="s">
        <v>562</v>
      </c>
    </row>
    <row r="290" hidden="1" customHeight="1" spans="1:10">
      <c r="A290" s="2">
        <v>249</v>
      </c>
      <c r="B290" s="7" t="s">
        <v>565</v>
      </c>
      <c r="C290" s="7" t="s">
        <v>566</v>
      </c>
      <c r="D290" s="7" t="str">
        <f>_xlfn.DISPIMG("ID_6DD3C4A2F03B428A9B8519C9A3BD34F9",1)</f>
        <v>=DISPIMG("ID_6DD3C4A2F03B428A9B8519C9A3BD34F9",1)</v>
      </c>
      <c r="E290" s="22">
        <v>0.995</v>
      </c>
      <c r="F290" s="7" t="s">
        <v>175</v>
      </c>
      <c r="G290" s="7">
        <v>1</v>
      </c>
      <c r="H290" s="11" t="s">
        <v>13</v>
      </c>
      <c r="I290" s="11" t="s">
        <v>556</v>
      </c>
      <c r="J290" s="5" t="s">
        <v>567</v>
      </c>
    </row>
    <row r="291" hidden="1" customHeight="1" spans="1:10">
      <c r="A291" s="2">
        <v>522</v>
      </c>
      <c r="B291" s="7" t="s">
        <v>568</v>
      </c>
      <c r="C291" s="7" t="s">
        <v>60</v>
      </c>
      <c r="D291" s="7" t="str">
        <f>_xlfn.DISPIMG("ID_02A94D9A6E1841498392CB2B426839C9",1)</f>
        <v>=DISPIMG("ID_02A94D9A6E1841498392CB2B426839C9",1)</v>
      </c>
      <c r="E291" s="22">
        <v>0.99</v>
      </c>
      <c r="F291" s="7" t="s">
        <v>50</v>
      </c>
      <c r="G291" s="7">
        <v>1</v>
      </c>
      <c r="H291" s="11" t="s">
        <v>13</v>
      </c>
      <c r="I291" s="11" t="s">
        <v>556</v>
      </c>
      <c r="J291" s="11" t="s">
        <v>187</v>
      </c>
    </row>
    <row r="292" hidden="1" customHeight="1" spans="1:10">
      <c r="A292" s="2">
        <v>523</v>
      </c>
      <c r="B292" s="7" t="s">
        <v>569</v>
      </c>
      <c r="C292" s="7" t="s">
        <v>570</v>
      </c>
      <c r="D292" s="7" t="str">
        <f>_xlfn.DISPIMG("ID_59A5AC0E8F0D4F18A98ABD058A5FDDD5",1)</f>
        <v>=DISPIMG("ID_59A5AC0E8F0D4F18A98ABD058A5FDDD5",1)</v>
      </c>
      <c r="E292" s="22">
        <v>0.99</v>
      </c>
      <c r="F292" s="7" t="s">
        <v>50</v>
      </c>
      <c r="G292" s="7">
        <v>1</v>
      </c>
      <c r="H292" s="11" t="s">
        <v>13</v>
      </c>
      <c r="I292" s="11" t="s">
        <v>556</v>
      </c>
      <c r="J292" s="11" t="s">
        <v>187</v>
      </c>
    </row>
    <row r="293" hidden="1" customHeight="1" spans="1:10">
      <c r="A293" s="2">
        <v>568</v>
      </c>
      <c r="B293" s="11" t="s">
        <v>571</v>
      </c>
      <c r="C293" s="11" t="s">
        <v>572</v>
      </c>
      <c r="D293" s="11" t="str">
        <f>_xlfn.DISPIMG("ID_07EEA2C05AEA4522A7A77D89A5B9520D",1)</f>
        <v>=DISPIMG("ID_07EEA2C05AEA4522A7A77D89A5B9520D",1)</v>
      </c>
      <c r="E293" s="28">
        <v>0.465</v>
      </c>
      <c r="F293" s="11"/>
      <c r="G293" s="11">
        <v>1</v>
      </c>
      <c r="H293" s="11"/>
      <c r="I293" s="11" t="s">
        <v>556</v>
      </c>
      <c r="J293" s="11" t="s">
        <v>196</v>
      </c>
    </row>
    <row r="294" hidden="1" customHeight="1" spans="1:10">
      <c r="A294" s="2">
        <v>617</v>
      </c>
      <c r="B294" s="7" t="s">
        <v>573</v>
      </c>
      <c r="C294" s="7" t="s">
        <v>572</v>
      </c>
      <c r="D294" s="7" t="str">
        <f>_xlfn.DISPIMG("ID_17CAB174CC774A64BD28EF58AC907A2D",1)</f>
        <v>=DISPIMG("ID_17CAB174CC774A64BD28EF58AC907A2D",1)</v>
      </c>
      <c r="E294" s="22">
        <v>0.98</v>
      </c>
      <c r="F294" s="7" t="s">
        <v>175</v>
      </c>
      <c r="G294" s="7">
        <v>1</v>
      </c>
      <c r="H294" s="11" t="s">
        <v>13</v>
      </c>
      <c r="I294" s="11" t="s">
        <v>556</v>
      </c>
      <c r="J294" s="11" t="s">
        <v>222</v>
      </c>
    </row>
    <row r="295" hidden="1" customHeight="1" spans="1:10">
      <c r="A295" s="2">
        <v>618</v>
      </c>
      <c r="B295" s="7" t="s">
        <v>573</v>
      </c>
      <c r="C295" s="7" t="s">
        <v>572</v>
      </c>
      <c r="D295" s="7" t="str">
        <f>_xlfn.DISPIMG("ID_9DA36EE04B524B0582031AB89C0062CC",1)</f>
        <v>=DISPIMG("ID_9DA36EE04B524B0582031AB89C0062CC",1)</v>
      </c>
      <c r="E295" s="23">
        <v>0.465</v>
      </c>
      <c r="F295" s="7" t="s">
        <v>12</v>
      </c>
      <c r="G295" s="7">
        <v>1</v>
      </c>
      <c r="H295" s="11" t="s">
        <v>13</v>
      </c>
      <c r="I295" s="11" t="s">
        <v>556</v>
      </c>
      <c r="J295" s="11" t="s">
        <v>222</v>
      </c>
    </row>
    <row r="296" hidden="1" customHeight="1" spans="1:10">
      <c r="A296" s="2">
        <v>619</v>
      </c>
      <c r="B296" s="7" t="s">
        <v>574</v>
      </c>
      <c r="C296" s="7" t="s">
        <v>575</v>
      </c>
      <c r="D296" s="7" t="str">
        <f>_xlfn.DISPIMG("ID_A954BB044FD54F1081E121C938FF1D98",1)</f>
        <v>=DISPIMG("ID_A954BB044FD54F1081E121C938FF1D98",1)</v>
      </c>
      <c r="E296" s="22">
        <v>0.99</v>
      </c>
      <c r="F296" s="7" t="s">
        <v>75</v>
      </c>
      <c r="G296" s="7">
        <v>1</v>
      </c>
      <c r="H296" s="11" t="s">
        <v>13</v>
      </c>
      <c r="I296" s="11" t="s">
        <v>556</v>
      </c>
      <c r="J296" s="11" t="s">
        <v>222</v>
      </c>
    </row>
    <row r="297" hidden="1" customHeight="1" spans="2:10">
      <c r="B297" s="31" t="s">
        <v>576</v>
      </c>
      <c r="C297" s="31" t="s">
        <v>577</v>
      </c>
      <c r="D297" s="31" t="e">
        <f>_xlfn.DISPIMG("ID_A41E359F75BC455D87D990D6DE71CC75",1)</f>
        <v>#REF!</v>
      </c>
      <c r="E297" s="37">
        <v>0.9983</v>
      </c>
      <c r="F297" s="31" t="s">
        <v>23</v>
      </c>
      <c r="G297" s="31">
        <v>1</v>
      </c>
      <c r="H297" s="36" t="s">
        <v>272</v>
      </c>
      <c r="I297" s="32" t="s">
        <v>578</v>
      </c>
      <c r="J297" s="31" t="s">
        <v>280</v>
      </c>
    </row>
    <row r="298" hidden="1" customHeight="1" spans="2:10">
      <c r="B298" s="31" t="s">
        <v>579</v>
      </c>
      <c r="C298" s="31" t="s">
        <v>580</v>
      </c>
      <c r="D298" s="30" t="str">
        <f>_xlfn.DISPIMG("ID_8FD8C34FF3D149DBBFE23EF5A217AB4B",1)</f>
        <v>=DISPIMG("ID_8FD8C34FF3D149DBBFE23EF5A217AB4B",1)</v>
      </c>
      <c r="E298" s="35">
        <v>0.95</v>
      </c>
      <c r="F298" s="31" t="s">
        <v>27</v>
      </c>
      <c r="G298" s="31">
        <v>1</v>
      </c>
      <c r="H298" s="36" t="s">
        <v>272</v>
      </c>
      <c r="I298" s="32" t="s">
        <v>578</v>
      </c>
      <c r="J298" s="31" t="s">
        <v>319</v>
      </c>
    </row>
    <row r="299" hidden="1" customHeight="1" spans="2:10">
      <c r="B299" s="31" t="s">
        <v>579</v>
      </c>
      <c r="C299" s="31" t="s">
        <v>580</v>
      </c>
      <c r="D299" s="30" t="e">
        <f>_xlfn.DISPIMG("ID_D4A4F8B4CDF3489DB94E074540ADDEF3",1)</f>
        <v>#REF!</v>
      </c>
      <c r="E299" s="35">
        <v>0.98</v>
      </c>
      <c r="F299" s="31" t="s">
        <v>581</v>
      </c>
      <c r="G299" s="31">
        <v>5</v>
      </c>
      <c r="H299" s="36" t="s">
        <v>272</v>
      </c>
      <c r="I299" s="32" t="s">
        <v>578</v>
      </c>
      <c r="J299" s="31" t="s">
        <v>305</v>
      </c>
    </row>
    <row r="300" hidden="1" customHeight="1" spans="2:10">
      <c r="B300" s="32" t="s">
        <v>582</v>
      </c>
      <c r="C300" s="31" t="s">
        <v>583</v>
      </c>
      <c r="D300" s="31" t="str">
        <f>_xlfn.DISPIMG("ID_077017B9F7FE4EDA80BA8E71CEF57608",1)</f>
        <v>=DISPIMG("ID_077017B9F7FE4EDA80BA8E71CEF57608",1)</v>
      </c>
      <c r="E300" s="37">
        <v>0.995</v>
      </c>
      <c r="F300" s="31" t="s">
        <v>147</v>
      </c>
      <c r="G300" s="31">
        <v>1</v>
      </c>
      <c r="H300" s="36" t="s">
        <v>272</v>
      </c>
      <c r="I300" s="32" t="s">
        <v>578</v>
      </c>
      <c r="J300" s="31" t="s">
        <v>319</v>
      </c>
    </row>
    <row r="301" hidden="1" customHeight="1" spans="2:10">
      <c r="B301" s="31" t="s">
        <v>584</v>
      </c>
      <c r="C301" s="31" t="s">
        <v>585</v>
      </c>
      <c r="D301" s="30" t="e">
        <f>_xlfn.DISPIMG("ID_5FC44E2658E9454DA3119ACD7F40E713",1)</f>
        <v>#REF!</v>
      </c>
      <c r="E301" s="35">
        <v>0.98</v>
      </c>
      <c r="F301" s="31" t="s">
        <v>23</v>
      </c>
      <c r="G301" s="31">
        <v>1</v>
      </c>
      <c r="H301" s="36" t="s">
        <v>272</v>
      </c>
      <c r="I301" s="32" t="s">
        <v>578</v>
      </c>
      <c r="J301" s="31" t="s">
        <v>316</v>
      </c>
    </row>
    <row r="302" hidden="1" customHeight="1" spans="2:10">
      <c r="B302" s="31" t="s">
        <v>586</v>
      </c>
      <c r="C302" s="31" t="s">
        <v>587</v>
      </c>
      <c r="D302" s="30" t="e">
        <f>_xlfn.DISPIMG("ID_FDE54B46CF2F4B53981AEB5321CB8119",1)</f>
        <v>#REF!</v>
      </c>
      <c r="E302" s="35">
        <v>0.98</v>
      </c>
      <c r="F302" s="31" t="s">
        <v>23</v>
      </c>
      <c r="G302" s="31">
        <v>1</v>
      </c>
      <c r="H302" s="36" t="s">
        <v>272</v>
      </c>
      <c r="I302" s="32" t="s">
        <v>578</v>
      </c>
      <c r="J302" s="31" t="s">
        <v>316</v>
      </c>
    </row>
    <row r="303" hidden="1" customHeight="1" spans="1:10">
      <c r="A303" s="2">
        <v>31</v>
      </c>
      <c r="B303" s="5" t="s">
        <v>588</v>
      </c>
      <c r="C303" s="18" t="s">
        <v>589</v>
      </c>
      <c r="D303" s="5" t="s">
        <v>590</v>
      </c>
      <c r="G303" s="2">
        <v>1</v>
      </c>
      <c r="H303" s="5" t="s">
        <v>13</v>
      </c>
      <c r="I303" s="5" t="s">
        <v>591</v>
      </c>
      <c r="J303" s="5" t="s">
        <v>592</v>
      </c>
    </row>
    <row r="304" hidden="1" customHeight="1" spans="1:10">
      <c r="A304" s="2">
        <v>33</v>
      </c>
      <c r="B304" s="7" t="s">
        <v>593</v>
      </c>
      <c r="C304" s="7" t="s">
        <v>594</v>
      </c>
      <c r="D304" s="7" t="str">
        <f>_xlfn.DISPIMG("ID_1C1C9A51ACDC41BBA0AD0E7A0A778A7E",1)</f>
        <v>=DISPIMG("ID_1C1C9A51ACDC41BBA0AD0E7A0A778A7E",1)</v>
      </c>
      <c r="E304" s="7"/>
      <c r="F304" s="7" t="s">
        <v>12</v>
      </c>
      <c r="G304" s="7">
        <v>1</v>
      </c>
      <c r="H304" s="11" t="s">
        <v>13</v>
      </c>
      <c r="I304" s="11" t="s">
        <v>591</v>
      </c>
      <c r="J304" s="5" t="s">
        <v>595</v>
      </c>
    </row>
    <row r="305" hidden="1" customHeight="1" spans="1:10">
      <c r="A305" s="2">
        <v>215</v>
      </c>
      <c r="B305" s="7" t="s">
        <v>596</v>
      </c>
      <c r="C305" s="7" t="s">
        <v>534</v>
      </c>
      <c r="D305" s="7" t="str">
        <f>_xlfn.DISPIMG("ID_D3AC61B70E1D4E4E95310224CDFF89C5",1)</f>
        <v>=DISPIMG("ID_D3AC61B70E1D4E4E95310224CDFF89C5",1)</v>
      </c>
      <c r="E305" s="22">
        <v>0.98</v>
      </c>
      <c r="F305" s="7" t="s">
        <v>45</v>
      </c>
      <c r="G305" s="7">
        <v>1</v>
      </c>
      <c r="H305" s="11" t="s">
        <v>13</v>
      </c>
      <c r="I305" s="11" t="s">
        <v>591</v>
      </c>
      <c r="J305" s="5" t="s">
        <v>528</v>
      </c>
    </row>
    <row r="306" hidden="1" customHeight="1" spans="1:10">
      <c r="A306" s="2">
        <v>235</v>
      </c>
      <c r="B306" s="7" t="s">
        <v>597</v>
      </c>
      <c r="C306" s="10" t="s">
        <v>598</v>
      </c>
      <c r="D306" s="11" t="str">
        <f>_xlfn.DISPIMG("ID_2D8AB154ACCB45DEB77ADA75BFF00193",1)</f>
        <v>=DISPIMG("ID_2D8AB154ACCB45DEB77ADA75BFF00193",1)</v>
      </c>
      <c r="E306" s="23">
        <v>0.995</v>
      </c>
      <c r="F306" s="7" t="s">
        <v>12</v>
      </c>
      <c r="G306" s="7">
        <v>1</v>
      </c>
      <c r="H306" s="11" t="s">
        <v>13</v>
      </c>
      <c r="I306" s="11" t="s">
        <v>591</v>
      </c>
      <c r="J306" s="5" t="s">
        <v>560</v>
      </c>
    </row>
    <row r="307" hidden="1" customHeight="1" spans="1:10">
      <c r="A307" s="2">
        <v>236</v>
      </c>
      <c r="B307" s="7" t="s">
        <v>599</v>
      </c>
      <c r="C307" s="7" t="s">
        <v>600</v>
      </c>
      <c r="D307" s="7" t="str">
        <f>_xlfn.DISPIMG("ID_3B852B731E3B45A5A31CB9840BADDEA5",1)</f>
        <v>=DISPIMG("ID_3B852B731E3B45A5A31CB9840BADDEA5",1)</v>
      </c>
      <c r="E307" s="23">
        <v>0.995</v>
      </c>
      <c r="F307" s="7" t="s">
        <v>124</v>
      </c>
      <c r="G307" s="7">
        <v>1</v>
      </c>
      <c r="H307" s="11" t="s">
        <v>13</v>
      </c>
      <c r="I307" s="11" t="s">
        <v>591</v>
      </c>
      <c r="J307" s="5" t="s">
        <v>560</v>
      </c>
    </row>
    <row r="308" hidden="1" customHeight="1" spans="1:10">
      <c r="A308" s="2">
        <v>271</v>
      </c>
      <c r="B308" s="5" t="s">
        <v>601</v>
      </c>
      <c r="C308" s="5" t="s">
        <v>602</v>
      </c>
      <c r="D308" s="2" t="str">
        <f>_xlfn.DISPIMG("ID_514DC0862FCB4BCB899D3FD80DDA13DC",1)</f>
        <v>=DISPIMG("ID_514DC0862FCB4BCB899D3FD80DDA13DC",1)</v>
      </c>
      <c r="E308" s="28">
        <v>0.99</v>
      </c>
      <c r="F308" s="5" t="s">
        <v>18</v>
      </c>
      <c r="G308" s="2">
        <v>1</v>
      </c>
      <c r="H308" s="2" t="s">
        <v>449</v>
      </c>
      <c r="I308" s="5" t="s">
        <v>591</v>
      </c>
      <c r="J308" s="5" t="s">
        <v>603</v>
      </c>
    </row>
    <row r="309" hidden="1" customHeight="1" spans="1:10">
      <c r="A309" s="2">
        <v>297</v>
      </c>
      <c r="B309" s="7" t="s">
        <v>604</v>
      </c>
      <c r="C309" s="10" t="s">
        <v>605</v>
      </c>
      <c r="D309" s="11" t="str">
        <f>_xlfn.DISPIMG("ID_83BC2A259B414E4E9C0C765E9351AA31",1)</f>
        <v>=DISPIMG("ID_83BC2A259B414E4E9C0C765E9351AA31",1)</v>
      </c>
      <c r="E309" s="22">
        <v>0.99</v>
      </c>
      <c r="F309" s="7" t="s">
        <v>50</v>
      </c>
      <c r="G309" s="7">
        <v>1</v>
      </c>
      <c r="H309" s="11" t="s">
        <v>13</v>
      </c>
      <c r="I309" s="11" t="s">
        <v>591</v>
      </c>
      <c r="J309" s="5" t="s">
        <v>606</v>
      </c>
    </row>
    <row r="310" hidden="1" customHeight="1" spans="1:10">
      <c r="A310" s="2">
        <v>308</v>
      </c>
      <c r="B310" s="7" t="s">
        <v>607</v>
      </c>
      <c r="C310" s="7" t="s">
        <v>608</v>
      </c>
      <c r="D310" s="7" t="str">
        <f>_xlfn.DISPIMG("ID_AA2B8A3A4BA045FBBDF686EF238146D8",1)</f>
        <v>=DISPIMG("ID_AA2B8A3A4BA045FBBDF686EF238146D8",1)</v>
      </c>
      <c r="E310" s="23">
        <v>0.99</v>
      </c>
      <c r="F310" s="7" t="s">
        <v>23</v>
      </c>
      <c r="G310" s="7">
        <v>1</v>
      </c>
      <c r="H310" s="11" t="s">
        <v>13</v>
      </c>
      <c r="I310" s="11" t="s">
        <v>591</v>
      </c>
      <c r="J310" s="5" t="s">
        <v>609</v>
      </c>
    </row>
    <row r="311" hidden="1" customHeight="1" spans="1:10">
      <c r="A311" s="2">
        <v>322</v>
      </c>
      <c r="B311" s="7" t="s">
        <v>610</v>
      </c>
      <c r="C311" s="7"/>
      <c r="D311" s="7"/>
      <c r="E311" s="7"/>
      <c r="F311" s="7"/>
      <c r="G311" s="7">
        <v>1</v>
      </c>
      <c r="H311" s="11" t="s">
        <v>117</v>
      </c>
      <c r="I311" s="11" t="s">
        <v>591</v>
      </c>
      <c r="J311" s="5" t="s">
        <v>611</v>
      </c>
    </row>
    <row r="312" hidden="1" customHeight="1" spans="1:10">
      <c r="A312" s="2">
        <v>324</v>
      </c>
      <c r="B312" s="7" t="s">
        <v>612</v>
      </c>
      <c r="C312" s="12">
        <v>40331</v>
      </c>
      <c r="D312" s="7" t="str">
        <f>_xlfn.DISPIMG("ID_2F837DFA109345CE9CF3BFBF1A00A3A6",1)</f>
        <v>=DISPIMG("ID_2F837DFA109345CE9CF3BFBF1A00A3A6",1)</v>
      </c>
      <c r="E312" s="22">
        <v>0.98</v>
      </c>
      <c r="F312" s="7" t="s">
        <v>27</v>
      </c>
      <c r="G312" s="7">
        <v>1</v>
      </c>
      <c r="H312" s="11" t="s">
        <v>13</v>
      </c>
      <c r="I312" s="11" t="s">
        <v>591</v>
      </c>
      <c r="J312" s="5" t="s">
        <v>611</v>
      </c>
    </row>
    <row r="313" hidden="1" customHeight="1" spans="1:10">
      <c r="A313" s="2">
        <v>327</v>
      </c>
      <c r="B313" s="7" t="s">
        <v>613</v>
      </c>
      <c r="C313" s="7" t="s">
        <v>614</v>
      </c>
      <c r="D313" s="7" t="str">
        <f>_xlfn.DISPIMG("ID_C8256EEEBC4C4B0E8DE316B27823D907",1)</f>
        <v>=DISPIMG("ID_C8256EEEBC4C4B0E8DE316B27823D907",1)</v>
      </c>
      <c r="E313" s="7" t="s">
        <v>56</v>
      </c>
      <c r="F313" s="7" t="s">
        <v>50</v>
      </c>
      <c r="G313" s="7">
        <v>1</v>
      </c>
      <c r="H313" s="11" t="s">
        <v>13</v>
      </c>
      <c r="I313" s="11" t="s">
        <v>591</v>
      </c>
      <c r="J313" s="5" t="s">
        <v>20</v>
      </c>
    </row>
    <row r="314" hidden="1" customHeight="1" spans="1:10">
      <c r="A314" s="2">
        <v>328</v>
      </c>
      <c r="B314" s="7" t="s">
        <v>615</v>
      </c>
      <c r="C314" s="11" t="s">
        <v>616</v>
      </c>
      <c r="D314" s="7" t="str">
        <f>_xlfn.DISPIMG("ID_98823A56D70B4A528FEB2947CB0ACF00",1)</f>
        <v>=DISPIMG("ID_98823A56D70B4A528FEB2947CB0ACF00",1)</v>
      </c>
      <c r="E314" s="22">
        <v>0.99</v>
      </c>
      <c r="F314" s="7" t="s">
        <v>57</v>
      </c>
      <c r="G314" s="7">
        <v>1</v>
      </c>
      <c r="H314" s="11" t="s">
        <v>13</v>
      </c>
      <c r="I314" s="11" t="s">
        <v>591</v>
      </c>
      <c r="J314" s="5" t="s">
        <v>20</v>
      </c>
    </row>
    <row r="315" hidden="1" customHeight="1" spans="1:10">
      <c r="A315" s="2">
        <v>329</v>
      </c>
      <c r="B315" s="7" t="s">
        <v>563</v>
      </c>
      <c r="C315" s="11" t="s">
        <v>564</v>
      </c>
      <c r="D315" s="7" t="str">
        <f>_xlfn.DISPIMG("ID_7D9E357816E74FCA8B5E904E97E2756D",1)</f>
        <v>=DISPIMG("ID_7D9E357816E74FCA8B5E904E97E2756D",1)</v>
      </c>
      <c r="E315" s="7"/>
      <c r="F315" s="7" t="s">
        <v>12</v>
      </c>
      <c r="G315" s="7">
        <v>1</v>
      </c>
      <c r="H315" s="11" t="s">
        <v>117</v>
      </c>
      <c r="I315" s="11" t="s">
        <v>591</v>
      </c>
      <c r="J315" s="5" t="s">
        <v>20</v>
      </c>
    </row>
    <row r="316" hidden="1" customHeight="1" spans="1:10">
      <c r="A316" s="2">
        <v>330</v>
      </c>
      <c r="B316" s="7" t="s">
        <v>617</v>
      </c>
      <c r="C316" s="7" t="s">
        <v>618</v>
      </c>
      <c r="D316" s="7" t="str">
        <f>_xlfn.DISPIMG("ID_A01175E2F0BE47CDB48837D6039728A4",1)</f>
        <v>=DISPIMG("ID_A01175E2F0BE47CDB48837D6039728A4",1)</v>
      </c>
      <c r="E316" s="22">
        <v>0.99</v>
      </c>
      <c r="F316" s="7" t="s">
        <v>12</v>
      </c>
      <c r="G316" s="7">
        <v>1</v>
      </c>
      <c r="H316" s="11" t="s">
        <v>117</v>
      </c>
      <c r="I316" s="11" t="s">
        <v>591</v>
      </c>
      <c r="J316" s="5" t="s">
        <v>20</v>
      </c>
    </row>
    <row r="317" hidden="1" customHeight="1" spans="1:10">
      <c r="A317" s="2">
        <v>331</v>
      </c>
      <c r="B317" s="7" t="s">
        <v>619</v>
      </c>
      <c r="C317" s="7" t="s">
        <v>618</v>
      </c>
      <c r="D317" s="41" t="str">
        <f>_xlfn.DISPIMG("ID_EF77C370BCB542E0B2041D8BE95ADCCB",1)</f>
        <v>=DISPIMG("ID_EF77C370BCB542E0B2041D8BE95ADCCB",1)</v>
      </c>
      <c r="E317" s="22">
        <v>0.99</v>
      </c>
      <c r="F317" s="7" t="s">
        <v>12</v>
      </c>
      <c r="G317" s="7">
        <v>1</v>
      </c>
      <c r="H317" s="11" t="s">
        <v>117</v>
      </c>
      <c r="I317" s="11" t="s">
        <v>591</v>
      </c>
      <c r="J317" s="5" t="s">
        <v>20</v>
      </c>
    </row>
    <row r="318" hidden="1" customHeight="1" spans="1:10">
      <c r="A318" s="2">
        <v>332</v>
      </c>
      <c r="B318" s="7" t="s">
        <v>620</v>
      </c>
      <c r="C318" s="11" t="s">
        <v>621</v>
      </c>
      <c r="D318" s="7" t="str">
        <f>_xlfn.DISPIMG("ID_FC65332BA5174791902A7D7D339DBB6E",1)</f>
        <v>=DISPIMG("ID_FC65332BA5174791902A7D7D339DBB6E",1)</v>
      </c>
      <c r="E318" s="7"/>
      <c r="F318" s="7" t="s">
        <v>12</v>
      </c>
      <c r="G318" s="7">
        <v>1</v>
      </c>
      <c r="H318" s="11" t="s">
        <v>117</v>
      </c>
      <c r="I318" s="11" t="s">
        <v>591</v>
      </c>
      <c r="J318" s="5" t="s">
        <v>20</v>
      </c>
    </row>
    <row r="319" hidden="1" customHeight="1" spans="1:10">
      <c r="A319" s="2">
        <v>333</v>
      </c>
      <c r="B319" s="7" t="s">
        <v>622</v>
      </c>
      <c r="C319" s="11" t="s">
        <v>621</v>
      </c>
      <c r="D319" s="7" t="str">
        <f>_xlfn.DISPIMG("ID_29C8463BD3AB4563B4F0FFCD30957291",1)</f>
        <v>=DISPIMG("ID_29C8463BD3AB4563B4F0FFCD30957291",1)</v>
      </c>
      <c r="E319" s="7"/>
      <c r="F319" s="7" t="s">
        <v>12</v>
      </c>
      <c r="G319" s="7">
        <v>1</v>
      </c>
      <c r="H319" s="11" t="s">
        <v>117</v>
      </c>
      <c r="I319" s="11" t="s">
        <v>591</v>
      </c>
      <c r="J319" s="5" t="s">
        <v>20</v>
      </c>
    </row>
    <row r="320" hidden="1" customHeight="1" spans="1:10">
      <c r="A320" s="2">
        <v>334</v>
      </c>
      <c r="B320" s="7" t="s">
        <v>597</v>
      </c>
      <c r="C320" s="11" t="s">
        <v>598</v>
      </c>
      <c r="D320" s="7" t="str">
        <f>_xlfn.DISPIMG("ID_0328A9E0FA7A4A478C0FDCDAB7B3FDAB",1)</f>
        <v>=DISPIMG("ID_0328A9E0FA7A4A478C0FDCDAB7B3FDAB",1)</v>
      </c>
      <c r="E320" s="23">
        <v>0.995</v>
      </c>
      <c r="F320" s="7" t="s">
        <v>12</v>
      </c>
      <c r="G320" s="7">
        <v>1</v>
      </c>
      <c r="H320" s="11" t="s">
        <v>117</v>
      </c>
      <c r="I320" s="11" t="s">
        <v>591</v>
      </c>
      <c r="J320" s="5" t="s">
        <v>20</v>
      </c>
    </row>
    <row r="321" hidden="1" customHeight="1" spans="1:10">
      <c r="A321" s="2">
        <v>335</v>
      </c>
      <c r="B321" s="7" t="s">
        <v>623</v>
      </c>
      <c r="C321" s="15" t="s">
        <v>624</v>
      </c>
      <c r="D321" s="7" t="str">
        <f>_xlfn.DISPIMG("ID_922C562AF0F54A97A4B4016C507785E0",1)</f>
        <v>=DISPIMG("ID_922C562AF0F54A97A4B4016C507785E0",1)</v>
      </c>
      <c r="E321" s="22">
        <v>0.99</v>
      </c>
      <c r="F321" s="7" t="s">
        <v>12</v>
      </c>
      <c r="G321" s="7">
        <v>2</v>
      </c>
      <c r="H321" s="11" t="s">
        <v>13</v>
      </c>
      <c r="I321" s="44" t="s">
        <v>625</v>
      </c>
      <c r="J321" s="5" t="s">
        <v>20</v>
      </c>
    </row>
    <row r="322" hidden="1" customHeight="1" spans="1:10">
      <c r="A322" s="2">
        <v>336</v>
      </c>
      <c r="B322" s="7" t="s">
        <v>626</v>
      </c>
      <c r="C322" s="7" t="s">
        <v>627</v>
      </c>
      <c r="D322" s="7" t="str">
        <f>_xlfn.DISPIMG("ID_2074B5A9EE704989B56D7D01F469B870",1)</f>
        <v>=DISPIMG("ID_2074B5A9EE704989B56D7D01F469B870",1)</v>
      </c>
      <c r="E322" s="22">
        <v>0.99</v>
      </c>
      <c r="F322" s="7" t="s">
        <v>12</v>
      </c>
      <c r="G322" s="7">
        <v>2</v>
      </c>
      <c r="H322" s="11" t="s">
        <v>13</v>
      </c>
      <c r="I322" s="44" t="s">
        <v>625</v>
      </c>
      <c r="J322" s="5" t="s">
        <v>20</v>
      </c>
    </row>
    <row r="323" hidden="1" customHeight="1" spans="1:10">
      <c r="A323" s="2">
        <v>337</v>
      </c>
      <c r="B323" s="7" t="s">
        <v>628</v>
      </c>
      <c r="C323" s="7" t="s">
        <v>629</v>
      </c>
      <c r="D323" s="7" t="str">
        <f>_xlfn.DISPIMG("ID_F6525035E44C4AD8AC39941FF1F18E48",1)</f>
        <v>=DISPIMG("ID_F6525035E44C4AD8AC39941FF1F18E48",1)</v>
      </c>
      <c r="E323" s="7"/>
      <c r="F323" s="7" t="s">
        <v>12</v>
      </c>
      <c r="G323" s="7">
        <v>3</v>
      </c>
      <c r="H323" s="11" t="s">
        <v>13</v>
      </c>
      <c r="I323" s="11" t="s">
        <v>591</v>
      </c>
      <c r="J323" s="5" t="s">
        <v>20</v>
      </c>
    </row>
    <row r="324" hidden="1" customHeight="1" spans="1:10">
      <c r="A324" s="2">
        <v>338</v>
      </c>
      <c r="B324" s="7" t="s">
        <v>630</v>
      </c>
      <c r="C324" s="11" t="s">
        <v>631</v>
      </c>
      <c r="D324" s="7" t="str">
        <f>_xlfn.DISPIMG("ID_86C0DBDFD0B548ABABC284CA14F8A1A5",1)</f>
        <v>=DISPIMG("ID_86C0DBDFD0B548ABABC284CA14F8A1A5",1)</v>
      </c>
      <c r="E324" s="7"/>
      <c r="F324" s="7" t="s">
        <v>12</v>
      </c>
      <c r="G324" s="7">
        <v>2</v>
      </c>
      <c r="H324" s="11" t="s">
        <v>13</v>
      </c>
      <c r="I324" s="11" t="s">
        <v>591</v>
      </c>
      <c r="J324" s="5" t="s">
        <v>20</v>
      </c>
    </row>
    <row r="325" hidden="1" customHeight="1" spans="1:10">
      <c r="A325" s="2">
        <v>339</v>
      </c>
      <c r="B325" s="7" t="s">
        <v>632</v>
      </c>
      <c r="C325" s="11" t="s">
        <v>633</v>
      </c>
      <c r="D325" s="7"/>
      <c r="E325" s="7"/>
      <c r="F325" s="7" t="s">
        <v>12</v>
      </c>
      <c r="G325" s="7">
        <v>2</v>
      </c>
      <c r="H325" s="11" t="s">
        <v>13</v>
      </c>
      <c r="I325" s="11" t="s">
        <v>591</v>
      </c>
      <c r="J325" s="5" t="s">
        <v>20</v>
      </c>
    </row>
    <row r="326" hidden="1" customHeight="1" spans="1:10">
      <c r="A326" s="2">
        <v>342</v>
      </c>
      <c r="B326" s="5" t="s">
        <v>634</v>
      </c>
      <c r="C326" s="5" t="s">
        <v>635</v>
      </c>
      <c r="D326" s="2" t="str">
        <f>_xlfn.DISPIMG("ID_69151571D7DA48A0AC681150786E306F",1)</f>
        <v>=DISPIMG("ID_69151571D7DA48A0AC681150786E306F",1)</v>
      </c>
      <c r="E326" s="5" t="s">
        <v>636</v>
      </c>
      <c r="F326" s="5" t="s">
        <v>57</v>
      </c>
      <c r="G326" s="2">
        <v>1</v>
      </c>
      <c r="H326" s="11" t="s">
        <v>13</v>
      </c>
      <c r="I326" s="5" t="s">
        <v>591</v>
      </c>
      <c r="J326" s="5" t="s">
        <v>20</v>
      </c>
    </row>
    <row r="327" hidden="1" customHeight="1" spans="1:10">
      <c r="A327" s="2">
        <v>343</v>
      </c>
      <c r="B327" s="5" t="s">
        <v>637</v>
      </c>
      <c r="C327" s="16">
        <v>28376</v>
      </c>
      <c r="D327" s="2" t="str">
        <f>_xlfn.DISPIMG("ID_E13A6A8F7F9D424D8C03DE6942B3064A",1)</f>
        <v>=DISPIMG("ID_E13A6A8F7F9D424D8C03DE6942B3064A",1)</v>
      </c>
      <c r="F327" s="5" t="s">
        <v>45</v>
      </c>
      <c r="G327" s="2">
        <v>1</v>
      </c>
      <c r="H327" s="11" t="s">
        <v>13</v>
      </c>
      <c r="I327" s="5" t="s">
        <v>591</v>
      </c>
      <c r="J327" s="5" t="s">
        <v>20</v>
      </c>
    </row>
    <row r="328" hidden="1" customHeight="1" spans="1:10">
      <c r="A328" s="2">
        <v>344</v>
      </c>
      <c r="B328" s="5" t="s">
        <v>638</v>
      </c>
      <c r="C328" s="5" t="s">
        <v>639</v>
      </c>
      <c r="D328" s="2" t="str">
        <f>_xlfn.DISPIMG("ID_6A13382E98DA4BFC9E3398E7EAF2F9AB",1)</f>
        <v>=DISPIMG("ID_6A13382E98DA4BFC9E3398E7EAF2F9AB",1)</v>
      </c>
      <c r="E328" s="24">
        <v>1.005</v>
      </c>
      <c r="G328" s="2">
        <v>1</v>
      </c>
      <c r="H328" s="11" t="s">
        <v>13</v>
      </c>
      <c r="I328" s="5" t="s">
        <v>591</v>
      </c>
      <c r="J328" s="5" t="s">
        <v>20</v>
      </c>
    </row>
    <row r="329" hidden="1" customHeight="1" spans="1:10">
      <c r="A329" s="2">
        <v>345</v>
      </c>
      <c r="B329" s="2" t="s">
        <v>640</v>
      </c>
      <c r="C329" s="5" t="s">
        <v>641</v>
      </c>
      <c r="D329" s="2" t="str">
        <f>_xlfn.DISPIMG("ID_19C7B427E9ED4D878A1644E762B0B8E4",1)</f>
        <v>=DISPIMG("ID_19C7B427E9ED4D878A1644E762B0B8E4",1)</v>
      </c>
      <c r="E329" s="5" t="s">
        <v>642</v>
      </c>
      <c r="F329" s="5" t="s">
        <v>161</v>
      </c>
      <c r="G329" s="2">
        <v>1</v>
      </c>
      <c r="H329" s="11" t="s">
        <v>13</v>
      </c>
      <c r="I329" s="5" t="s">
        <v>591</v>
      </c>
      <c r="J329" s="2" t="s">
        <v>643</v>
      </c>
    </row>
    <row r="330" hidden="1" customHeight="1" spans="1:10">
      <c r="A330" s="2">
        <v>346</v>
      </c>
      <c r="B330" s="2" t="s">
        <v>644</v>
      </c>
      <c r="F330" s="5" t="s">
        <v>45</v>
      </c>
      <c r="G330" s="2">
        <v>2</v>
      </c>
      <c r="H330" s="11" t="s">
        <v>13</v>
      </c>
      <c r="I330" s="5" t="s">
        <v>591</v>
      </c>
      <c r="J330" s="2" t="s">
        <v>643</v>
      </c>
    </row>
    <row r="331" hidden="1" customHeight="1" spans="1:10">
      <c r="A331" s="2">
        <v>347</v>
      </c>
      <c r="B331" s="5" t="s">
        <v>645</v>
      </c>
      <c r="C331" s="5" t="s">
        <v>646</v>
      </c>
      <c r="D331" s="2" t="str">
        <f>_xlfn.DISPIMG("ID_4730069CB43944659656425848444515",1)</f>
        <v>=DISPIMG("ID_4730069CB43944659656425848444515",1)</v>
      </c>
      <c r="F331" s="5" t="s">
        <v>110</v>
      </c>
      <c r="G331" s="2">
        <v>1</v>
      </c>
      <c r="H331" s="11" t="s">
        <v>13</v>
      </c>
      <c r="I331" s="5" t="s">
        <v>591</v>
      </c>
      <c r="J331" s="2" t="s">
        <v>643</v>
      </c>
    </row>
    <row r="332" hidden="1" customHeight="1" spans="1:10">
      <c r="A332" s="2">
        <v>348</v>
      </c>
      <c r="B332" s="5" t="s">
        <v>647</v>
      </c>
      <c r="C332" s="2" t="s">
        <v>648</v>
      </c>
      <c r="G332" s="2">
        <v>2</v>
      </c>
      <c r="H332" s="11" t="s">
        <v>13</v>
      </c>
      <c r="I332" s="5" t="s">
        <v>591</v>
      </c>
      <c r="J332" s="5" t="s">
        <v>20</v>
      </c>
    </row>
    <row r="333" hidden="1" customHeight="1" spans="1:10">
      <c r="A333" s="2">
        <v>349</v>
      </c>
      <c r="B333" s="7" t="s">
        <v>649</v>
      </c>
      <c r="C333" s="14">
        <v>2125597</v>
      </c>
      <c r="D333" s="7" t="str">
        <f>_xlfn.DISPIMG("ID_3F00E0C5445D43BE9B64C1A31DE486F7",1)</f>
        <v>=DISPIMG("ID_3F00E0C5445D43BE9B64C1A31DE486F7",1)</v>
      </c>
      <c r="E333" s="23">
        <v>0.995</v>
      </c>
      <c r="F333" s="7" t="s">
        <v>12</v>
      </c>
      <c r="G333" s="7">
        <v>1</v>
      </c>
      <c r="H333" s="11" t="s">
        <v>13</v>
      </c>
      <c r="I333" s="11" t="s">
        <v>591</v>
      </c>
      <c r="J333" s="5" t="s">
        <v>463</v>
      </c>
    </row>
    <row r="334" hidden="1" customHeight="1" spans="1:10">
      <c r="A334" s="2">
        <v>351</v>
      </c>
      <c r="B334" s="7" t="s">
        <v>650</v>
      </c>
      <c r="C334" s="10" t="s">
        <v>651</v>
      </c>
      <c r="D334" s="11" t="str">
        <f>_xlfn.DISPIMG("ID_524ACC8822084E40A79F8330CBE7940F",1)</f>
        <v>=DISPIMG("ID_524ACC8822084E40A79F8330CBE7940F",1)</v>
      </c>
      <c r="E334" s="7"/>
      <c r="F334" s="7"/>
      <c r="G334" s="7">
        <v>1</v>
      </c>
      <c r="H334" s="11" t="s">
        <v>13</v>
      </c>
      <c r="I334" s="11" t="s">
        <v>591</v>
      </c>
      <c r="J334" s="5" t="s">
        <v>463</v>
      </c>
    </row>
    <row r="335" hidden="1" customHeight="1" spans="1:10">
      <c r="A335" s="2">
        <v>353</v>
      </c>
      <c r="B335" s="7" t="s">
        <v>623</v>
      </c>
      <c r="C335" s="15" t="s">
        <v>624</v>
      </c>
      <c r="D335" s="7" t="str">
        <f>_xlfn.DISPIMG("ID_7ABF5BD0E93248789CBFB55C1158DA88",1)</f>
        <v>=DISPIMG("ID_7ABF5BD0E93248789CBFB55C1158DA88",1)</v>
      </c>
      <c r="E335" s="7"/>
      <c r="F335" s="7" t="s">
        <v>12</v>
      </c>
      <c r="G335" s="7">
        <v>1</v>
      </c>
      <c r="H335" s="11" t="s">
        <v>13</v>
      </c>
      <c r="I335" s="44" t="s">
        <v>625</v>
      </c>
      <c r="J335" s="5" t="s">
        <v>463</v>
      </c>
    </row>
    <row r="336" hidden="1" customHeight="1" spans="1:10">
      <c r="A336" s="2">
        <v>354</v>
      </c>
      <c r="B336" s="42" t="s">
        <v>652</v>
      </c>
      <c r="F336" s="5" t="s">
        <v>653</v>
      </c>
      <c r="G336" s="2">
        <v>25</v>
      </c>
      <c r="I336" s="5" t="s">
        <v>591</v>
      </c>
      <c r="J336" s="5" t="s">
        <v>463</v>
      </c>
    </row>
    <row r="337" hidden="1" customHeight="1" spans="1:10">
      <c r="A337" s="2">
        <v>355</v>
      </c>
      <c r="B337" s="5" t="s">
        <v>654</v>
      </c>
      <c r="C337" s="5" t="s">
        <v>594</v>
      </c>
      <c r="D337" s="2" t="str">
        <f>_xlfn.DISPIMG("ID_CE3EB96083FE41178A094CC7714699D9",1)</f>
        <v>=DISPIMG("ID_CE3EB96083FE41178A094CC7714699D9",1)</v>
      </c>
      <c r="E337" s="24">
        <v>0.995</v>
      </c>
      <c r="F337" s="5" t="s">
        <v>12</v>
      </c>
      <c r="G337" s="2">
        <v>2</v>
      </c>
      <c r="H337" s="5" t="s">
        <v>13</v>
      </c>
      <c r="I337" s="5" t="s">
        <v>591</v>
      </c>
      <c r="J337" s="5" t="s">
        <v>463</v>
      </c>
    </row>
    <row r="338" hidden="1" customHeight="1" spans="1:10">
      <c r="A338" s="2">
        <v>357</v>
      </c>
      <c r="B338" s="5" t="s">
        <v>655</v>
      </c>
      <c r="F338" s="5" t="s">
        <v>12</v>
      </c>
      <c r="G338" s="2">
        <v>1</v>
      </c>
      <c r="H338" s="5" t="s">
        <v>13</v>
      </c>
      <c r="I338" s="5" t="s">
        <v>591</v>
      </c>
      <c r="J338" s="5" t="s">
        <v>463</v>
      </c>
    </row>
    <row r="339" hidden="1" customHeight="1" spans="1:10">
      <c r="A339" s="2">
        <v>358</v>
      </c>
      <c r="B339" s="5" t="s">
        <v>656</v>
      </c>
      <c r="C339" s="5" t="s">
        <v>657</v>
      </c>
      <c r="D339" s="2" t="str">
        <f>_xlfn.DISPIMG("ID_63E7DF9E466D4C8FBAB08B81E1D586F8",1)</f>
        <v>=DISPIMG("ID_63E7DF9E466D4C8FBAB08B81E1D586F8",1)</v>
      </c>
      <c r="G339" s="2">
        <v>1</v>
      </c>
      <c r="H339" s="5" t="s">
        <v>13</v>
      </c>
      <c r="I339" s="5" t="s">
        <v>591</v>
      </c>
      <c r="J339" s="5" t="s">
        <v>463</v>
      </c>
    </row>
    <row r="340" hidden="1" customHeight="1" spans="1:10">
      <c r="A340" s="2">
        <v>361</v>
      </c>
      <c r="B340" s="5" t="s">
        <v>658</v>
      </c>
      <c r="C340" s="5" t="s">
        <v>659</v>
      </c>
      <c r="D340" s="2" t="str">
        <f>_xlfn.DISPIMG("ID_2AECBA8FDED2460F879DEFD867FE1FAC",1)</f>
        <v>=DISPIMG("ID_2AECBA8FDED2460F879DEFD867FE1FAC",1)</v>
      </c>
      <c r="E340" s="20">
        <v>0.99</v>
      </c>
      <c r="F340" s="5" t="s">
        <v>50</v>
      </c>
      <c r="G340" s="2">
        <v>1</v>
      </c>
      <c r="H340" s="5" t="s">
        <v>13</v>
      </c>
      <c r="I340" s="5" t="s">
        <v>591</v>
      </c>
      <c r="J340" s="5" t="s">
        <v>463</v>
      </c>
    </row>
    <row r="341" hidden="1" customHeight="1" spans="1:10">
      <c r="A341" s="2">
        <v>362</v>
      </c>
      <c r="B341" s="5" t="s">
        <v>660</v>
      </c>
      <c r="E341" s="20">
        <v>0.98</v>
      </c>
      <c r="F341" s="5" t="s">
        <v>50</v>
      </c>
      <c r="G341" s="2">
        <v>2</v>
      </c>
      <c r="H341" s="5" t="s">
        <v>13</v>
      </c>
      <c r="I341" s="5" t="s">
        <v>591</v>
      </c>
      <c r="J341" s="5" t="s">
        <v>463</v>
      </c>
    </row>
    <row r="342" hidden="1" customHeight="1" spans="1:10">
      <c r="A342" s="2">
        <v>363</v>
      </c>
      <c r="B342" s="5" t="s">
        <v>661</v>
      </c>
      <c r="C342" s="5" t="s">
        <v>437</v>
      </c>
      <c r="D342" s="2" t="str">
        <f>_xlfn.DISPIMG("ID_BA6B9456FE994902B4E8AF265C805BEB",1)</f>
        <v>=DISPIMG("ID_BA6B9456FE994902B4E8AF265C805BEB",1)</v>
      </c>
      <c r="F342" s="5" t="s">
        <v>110</v>
      </c>
      <c r="G342" s="2">
        <v>1</v>
      </c>
      <c r="H342" s="5" t="s">
        <v>13</v>
      </c>
      <c r="I342" s="5" t="s">
        <v>591</v>
      </c>
      <c r="J342" s="5" t="s">
        <v>463</v>
      </c>
    </row>
    <row r="343" hidden="1" customHeight="1" spans="1:10">
      <c r="A343" s="2">
        <v>364</v>
      </c>
      <c r="B343" s="7" t="s">
        <v>662</v>
      </c>
      <c r="C343" s="7" t="s">
        <v>663</v>
      </c>
      <c r="D343" s="7" t="str">
        <f>_xlfn.DISPIMG("ID_52D2BBEE1B644495993B806B553CCEE9",1)</f>
        <v>=DISPIMG("ID_52D2BBEE1B644495993B806B553CCEE9",1)</v>
      </c>
      <c r="E343" s="23">
        <v>0.995</v>
      </c>
      <c r="F343" s="7" t="s">
        <v>12</v>
      </c>
      <c r="G343" s="7">
        <v>2</v>
      </c>
      <c r="H343" s="11" t="s">
        <v>13</v>
      </c>
      <c r="I343" s="11" t="s">
        <v>591</v>
      </c>
      <c r="J343" s="5" t="s">
        <v>664</v>
      </c>
    </row>
    <row r="344" hidden="1" customHeight="1" spans="1:10">
      <c r="A344" s="2">
        <v>365</v>
      </c>
      <c r="B344" s="7" t="s">
        <v>665</v>
      </c>
      <c r="C344" s="7" t="s">
        <v>666</v>
      </c>
      <c r="D344" s="7" t="str">
        <f>_xlfn.DISPIMG("ID_D49E04C3C9F54EAC8EC2EEF8A173BDD6",1)</f>
        <v>=DISPIMG("ID_D49E04C3C9F54EAC8EC2EEF8A173BDD6",1)</v>
      </c>
      <c r="E344" s="22">
        <v>0.99</v>
      </c>
      <c r="F344" s="7" t="s">
        <v>45</v>
      </c>
      <c r="G344" s="7">
        <v>1</v>
      </c>
      <c r="H344" s="11" t="s">
        <v>13</v>
      </c>
      <c r="I344" s="44" t="s">
        <v>625</v>
      </c>
      <c r="J344" s="5" t="s">
        <v>664</v>
      </c>
    </row>
    <row r="345" hidden="1" customHeight="1" spans="1:10">
      <c r="A345" s="2">
        <v>366</v>
      </c>
      <c r="B345" s="5" t="s">
        <v>667</v>
      </c>
      <c r="C345" s="5" t="s">
        <v>668</v>
      </c>
      <c r="D345" s="2" t="str">
        <f>_xlfn.DISPIMG("ID_C56968A947D1473DA109B775FF3B179C",1)</f>
        <v>=DISPIMG("ID_C56968A947D1473DA109B775FF3B179C",1)</v>
      </c>
      <c r="G345" s="2">
        <v>1</v>
      </c>
      <c r="H345" s="5" t="s">
        <v>13</v>
      </c>
      <c r="I345" s="5" t="s">
        <v>591</v>
      </c>
      <c r="J345" s="5" t="s">
        <v>664</v>
      </c>
    </row>
    <row r="346" hidden="1" customHeight="1" spans="1:10">
      <c r="A346" s="2">
        <v>368</v>
      </c>
      <c r="B346" s="5" t="s">
        <v>669</v>
      </c>
      <c r="C346" s="5" t="s">
        <v>670</v>
      </c>
      <c r="D346" s="2" t="str">
        <f>_xlfn.DISPIMG("ID_D6EBF1A2C40F425C81E002E2E9EFB5DB",1)</f>
        <v>=DISPIMG("ID_D6EBF1A2C40F425C81E002E2E9EFB5DB",1)</v>
      </c>
      <c r="E346" s="20">
        <v>0.98</v>
      </c>
      <c r="F346" s="5" t="s">
        <v>45</v>
      </c>
      <c r="G346" s="2">
        <v>1</v>
      </c>
      <c r="H346" s="5" t="s">
        <v>13</v>
      </c>
      <c r="I346" s="5" t="s">
        <v>591</v>
      </c>
      <c r="J346" s="5" t="s">
        <v>664</v>
      </c>
    </row>
    <row r="347" hidden="1" customHeight="1" spans="1:10">
      <c r="A347" s="2">
        <v>369</v>
      </c>
      <c r="B347" s="5" t="s">
        <v>671</v>
      </c>
      <c r="C347" s="5" t="s">
        <v>672</v>
      </c>
      <c r="D347" s="2" t="str">
        <f>_xlfn.DISPIMG("ID_0508198714B848AB8F5558434FF2D0F8",1)</f>
        <v>=DISPIMG("ID_0508198714B848AB8F5558434FF2D0F8",1)</v>
      </c>
      <c r="E347" s="20">
        <v>0.99</v>
      </c>
      <c r="F347" s="5" t="s">
        <v>45</v>
      </c>
      <c r="G347" s="2">
        <v>1</v>
      </c>
      <c r="H347" s="5" t="s">
        <v>13</v>
      </c>
      <c r="I347" s="5" t="s">
        <v>591</v>
      </c>
      <c r="J347" s="5" t="s">
        <v>664</v>
      </c>
    </row>
    <row r="348" hidden="1" customHeight="1" spans="1:10">
      <c r="A348" s="2">
        <v>370</v>
      </c>
      <c r="B348" s="5" t="s">
        <v>673</v>
      </c>
      <c r="C348" s="5" t="s">
        <v>674</v>
      </c>
      <c r="D348" s="2" t="str">
        <f>_xlfn.DISPIMG("ID_0B56396D53574FD19541831066FC6CCC",1)</f>
        <v>=DISPIMG("ID_0B56396D53574FD19541831066FC6CCC",1)</v>
      </c>
      <c r="E348" s="20">
        <v>0.99</v>
      </c>
      <c r="F348" s="5" t="s">
        <v>57</v>
      </c>
      <c r="G348" s="2">
        <v>1</v>
      </c>
      <c r="H348" s="5" t="s">
        <v>13</v>
      </c>
      <c r="I348" s="5" t="s">
        <v>591</v>
      </c>
      <c r="J348" s="5" t="s">
        <v>664</v>
      </c>
    </row>
    <row r="349" hidden="1" customHeight="1" spans="1:10">
      <c r="A349" s="2">
        <v>371</v>
      </c>
      <c r="B349" s="5" t="s">
        <v>675</v>
      </c>
      <c r="C349" s="5" t="s">
        <v>676</v>
      </c>
      <c r="D349" s="2" t="str">
        <f>_xlfn.DISPIMG("ID_2577DE55397A40AC8ACB668CF92570D7",1)</f>
        <v>=DISPIMG("ID_2577DE55397A40AC8ACB668CF92570D7",1)</v>
      </c>
      <c r="E349" s="20">
        <v>0.96</v>
      </c>
      <c r="F349" s="5" t="s">
        <v>68</v>
      </c>
      <c r="G349" s="2">
        <v>1</v>
      </c>
      <c r="H349" s="5" t="s">
        <v>13</v>
      </c>
      <c r="I349" s="5" t="s">
        <v>591</v>
      </c>
      <c r="J349" s="5" t="s">
        <v>664</v>
      </c>
    </row>
    <row r="350" hidden="1" customHeight="1" spans="1:10">
      <c r="A350" s="2">
        <v>372</v>
      </c>
      <c r="B350" s="5" t="s">
        <v>677</v>
      </c>
      <c r="C350" s="15" t="s">
        <v>678</v>
      </c>
      <c r="D350" s="2" t="str">
        <f>_xlfn.DISPIMG("ID_69A1D99CE6754DC69D7C00FB622F0C74",1)</f>
        <v>=DISPIMG("ID_69A1D99CE6754DC69D7C00FB622F0C74",1)</v>
      </c>
      <c r="E350" s="5" t="s">
        <v>679</v>
      </c>
      <c r="F350" s="5" t="s">
        <v>75</v>
      </c>
      <c r="G350" s="2">
        <v>1</v>
      </c>
      <c r="H350" s="5" t="s">
        <v>13</v>
      </c>
      <c r="I350" s="5" t="s">
        <v>591</v>
      </c>
      <c r="J350" s="5" t="s">
        <v>664</v>
      </c>
    </row>
    <row r="351" hidden="1" customHeight="1" spans="1:10">
      <c r="A351" s="2">
        <v>373</v>
      </c>
      <c r="B351" s="7" t="s">
        <v>626</v>
      </c>
      <c r="C351" s="7" t="s">
        <v>627</v>
      </c>
      <c r="D351" s="7" t="str">
        <f>_xlfn.DISPIMG("ID_A04B754AF35044C2A4593EA5DA9B5C7E",1)</f>
        <v>=DISPIMG("ID_A04B754AF35044C2A4593EA5DA9B5C7E",1)</v>
      </c>
      <c r="E351" s="22">
        <v>0.99</v>
      </c>
      <c r="F351" s="7" t="s">
        <v>12</v>
      </c>
      <c r="G351" s="7">
        <v>1</v>
      </c>
      <c r="H351" s="11" t="s">
        <v>13</v>
      </c>
      <c r="I351" s="44" t="s">
        <v>625</v>
      </c>
      <c r="J351" s="5" t="s">
        <v>680</v>
      </c>
    </row>
    <row r="352" hidden="1" customHeight="1" spans="1:10">
      <c r="A352" s="2">
        <v>374</v>
      </c>
      <c r="B352" s="7" t="s">
        <v>628</v>
      </c>
      <c r="C352" s="18" t="s">
        <v>629</v>
      </c>
      <c r="D352" s="7" t="str">
        <f>_xlfn.DISPIMG("ID_C0CD9DBEBA61432EB80777D2F46649CE",1)</f>
        <v>=DISPIMG("ID_C0CD9DBEBA61432EB80777D2F46649CE",1)</v>
      </c>
      <c r="E352" s="23">
        <v>0.995</v>
      </c>
      <c r="F352" s="7" t="s">
        <v>12</v>
      </c>
      <c r="G352" s="7">
        <v>1</v>
      </c>
      <c r="H352" s="11" t="s">
        <v>13</v>
      </c>
      <c r="I352" s="11" t="s">
        <v>591</v>
      </c>
      <c r="J352" s="5" t="s">
        <v>680</v>
      </c>
    </row>
    <row r="353" hidden="1" customHeight="1" spans="1:10">
      <c r="A353" s="2">
        <v>375</v>
      </c>
      <c r="B353" s="7" t="s">
        <v>681</v>
      </c>
      <c r="C353" s="18" t="s">
        <v>621</v>
      </c>
      <c r="D353" s="7" t="str">
        <f>_xlfn.DISPIMG("ID_EEFDC8EBAA5F48BDAC427F08FA00D42C",1)</f>
        <v>=DISPIMG("ID_EEFDC8EBAA5F48BDAC427F08FA00D42C",1)</v>
      </c>
      <c r="E353" s="7"/>
      <c r="F353" s="7" t="s">
        <v>57</v>
      </c>
      <c r="G353" s="7">
        <v>1</v>
      </c>
      <c r="H353" s="11" t="s">
        <v>13</v>
      </c>
      <c r="I353" s="11" t="s">
        <v>591</v>
      </c>
      <c r="J353" s="5" t="s">
        <v>680</v>
      </c>
    </row>
    <row r="354" hidden="1" customHeight="1" spans="1:10">
      <c r="A354" s="2">
        <v>376</v>
      </c>
      <c r="B354" s="7" t="s">
        <v>563</v>
      </c>
      <c r="C354" s="18" t="s">
        <v>564</v>
      </c>
      <c r="D354" s="7" t="str">
        <f>_xlfn.DISPIMG("ID_B86F353F593E4661958205E3EF8B4FA2",1)</f>
        <v>=DISPIMG("ID_B86F353F593E4661958205E3EF8B4FA2",1)</v>
      </c>
      <c r="E354" s="22">
        <v>0.99</v>
      </c>
      <c r="F354" s="7" t="s">
        <v>12</v>
      </c>
      <c r="G354" s="7">
        <v>1</v>
      </c>
      <c r="H354" s="11" t="s">
        <v>13</v>
      </c>
      <c r="I354" s="11" t="s">
        <v>591</v>
      </c>
      <c r="J354" s="2" t="s">
        <v>682</v>
      </c>
    </row>
    <row r="355" hidden="1" customHeight="1" spans="1:10">
      <c r="A355" s="2">
        <v>377</v>
      </c>
      <c r="B355" s="7" t="s">
        <v>76</v>
      </c>
      <c r="C355" s="10" t="s">
        <v>77</v>
      </c>
      <c r="D355" s="11" t="str">
        <f>_xlfn.DISPIMG("ID_77585BC335C1425C949A42761BC9E1F4",1)</f>
        <v>=DISPIMG("ID_77585BC335C1425C949A42761BC9E1F4",1)</v>
      </c>
      <c r="E355" s="22">
        <v>0.96</v>
      </c>
      <c r="F355" s="7" t="s">
        <v>45</v>
      </c>
      <c r="G355" s="7">
        <v>2</v>
      </c>
      <c r="H355" s="11" t="s">
        <v>13</v>
      </c>
      <c r="I355" s="11" t="s">
        <v>591</v>
      </c>
      <c r="J355" s="5" t="s">
        <v>680</v>
      </c>
    </row>
    <row r="356" hidden="1" customHeight="1" spans="1:10">
      <c r="A356" s="2">
        <v>378</v>
      </c>
      <c r="B356" s="7" t="s">
        <v>683</v>
      </c>
      <c r="C356" s="10" t="s">
        <v>684</v>
      </c>
      <c r="D356" s="11" t="str">
        <f>_xlfn.DISPIMG("ID_4D01B89DF7CC445D82B599610DA90F23",1)</f>
        <v>=DISPIMG("ID_4D01B89DF7CC445D82B599610DA90F23",1)</v>
      </c>
      <c r="E356" s="7"/>
      <c r="F356" s="7" t="s">
        <v>50</v>
      </c>
      <c r="G356" s="7">
        <v>1</v>
      </c>
      <c r="H356" s="11" t="s">
        <v>13</v>
      </c>
      <c r="I356" s="11" t="s">
        <v>591</v>
      </c>
      <c r="J356" s="5" t="s">
        <v>680</v>
      </c>
    </row>
    <row r="357" hidden="1" customHeight="1" spans="1:10">
      <c r="A357" s="2">
        <v>379</v>
      </c>
      <c r="B357" s="7" t="s">
        <v>628</v>
      </c>
      <c r="C357" s="10" t="s">
        <v>685</v>
      </c>
      <c r="D357" s="11" t="str">
        <f>_xlfn.DISPIMG("ID_B29B5FD08C81468DBC4E87EEAD5E8867",1)</f>
        <v>=DISPIMG("ID_B29B5FD08C81468DBC4E87EEAD5E8867",1)</v>
      </c>
      <c r="E357" s="22">
        <v>0.99</v>
      </c>
      <c r="F357" s="7" t="s">
        <v>12</v>
      </c>
      <c r="G357" s="7">
        <v>1</v>
      </c>
      <c r="H357" s="11" t="s">
        <v>13</v>
      </c>
      <c r="I357" s="11" t="s">
        <v>591</v>
      </c>
      <c r="J357" s="5" t="s">
        <v>680</v>
      </c>
    </row>
    <row r="358" hidden="1" customHeight="1" spans="1:10">
      <c r="A358" s="2">
        <v>380</v>
      </c>
      <c r="B358" s="7" t="s">
        <v>563</v>
      </c>
      <c r="C358" s="10" t="s">
        <v>686</v>
      </c>
      <c r="D358" s="11" t="str">
        <f>_xlfn.DISPIMG("ID_FC1E1B01915549CBB5ABD064A2590BF9",1)</f>
        <v>=DISPIMG("ID_FC1E1B01915549CBB5ABD064A2590BF9",1)</v>
      </c>
      <c r="E358" s="22">
        <v>0.99</v>
      </c>
      <c r="F358" s="7" t="s">
        <v>12</v>
      </c>
      <c r="G358" s="7">
        <v>1</v>
      </c>
      <c r="H358" s="11" t="s">
        <v>13</v>
      </c>
      <c r="I358" s="11" t="s">
        <v>591</v>
      </c>
      <c r="J358" s="5" t="s">
        <v>680</v>
      </c>
    </row>
    <row r="359" hidden="1" customHeight="1" spans="1:10">
      <c r="A359" s="2">
        <v>381</v>
      </c>
      <c r="B359" s="2" t="s">
        <v>687</v>
      </c>
      <c r="C359" s="11" t="s">
        <v>688</v>
      </c>
      <c r="D359" s="11" t="str">
        <f>_xlfn.DISPIMG("ID_2CCA088D75854883B7F8BDAD9E609B5B",1)</f>
        <v>=DISPIMG("ID_2CCA088D75854883B7F8BDAD9E609B5B",1)</v>
      </c>
      <c r="F359" s="2" t="s">
        <v>50</v>
      </c>
      <c r="G359" s="2">
        <v>1</v>
      </c>
      <c r="H359" s="5" t="s">
        <v>13</v>
      </c>
      <c r="I359" s="11" t="s">
        <v>591</v>
      </c>
      <c r="J359" s="5" t="s">
        <v>680</v>
      </c>
    </row>
    <row r="360" hidden="1" customHeight="1" spans="1:10">
      <c r="A360" s="2">
        <v>382</v>
      </c>
      <c r="B360" s="2" t="s">
        <v>689</v>
      </c>
      <c r="C360" s="11" t="s">
        <v>690</v>
      </c>
      <c r="D360" s="7" t="str">
        <f>_xlfn.DISPIMG("ID_95D0758A4B0A47799A57A7325837358E",1)</f>
        <v>=DISPIMG("ID_95D0758A4B0A47799A57A7325837358E",1)</v>
      </c>
      <c r="E360" s="24">
        <v>0.998</v>
      </c>
      <c r="F360" s="2" t="s">
        <v>57</v>
      </c>
      <c r="G360" s="2">
        <v>1</v>
      </c>
      <c r="H360" s="5" t="s">
        <v>13</v>
      </c>
      <c r="I360" s="11" t="s">
        <v>591</v>
      </c>
      <c r="J360" s="5" t="s">
        <v>680</v>
      </c>
    </row>
    <row r="361" hidden="1" customHeight="1" spans="1:10">
      <c r="A361" s="2">
        <v>383</v>
      </c>
      <c r="B361" s="7" t="s">
        <v>691</v>
      </c>
      <c r="C361" s="7" t="s">
        <v>692</v>
      </c>
      <c r="D361" s="7" t="str">
        <f>_xlfn.DISPIMG("ID_9DB0D6C96E484C8DAF3D0BF66259378B",1)</f>
        <v>=DISPIMG("ID_9DB0D6C96E484C8DAF3D0BF66259378B",1)</v>
      </c>
      <c r="E361" s="22">
        <v>0.96</v>
      </c>
      <c r="F361" s="7" t="s">
        <v>45</v>
      </c>
      <c r="G361" s="7">
        <v>1</v>
      </c>
      <c r="H361" s="11" t="s">
        <v>13</v>
      </c>
      <c r="I361" s="11" t="s">
        <v>591</v>
      </c>
      <c r="J361" s="5" t="s">
        <v>680</v>
      </c>
    </row>
    <row r="362" hidden="1" customHeight="1" spans="1:10">
      <c r="A362" s="2">
        <v>384</v>
      </c>
      <c r="B362" s="7" t="s">
        <v>693</v>
      </c>
      <c r="C362" s="7" t="s">
        <v>694</v>
      </c>
      <c r="D362" s="7" t="str">
        <f>_xlfn.DISPIMG("ID_594D226E15F94117B34A8412EF104B1E",1)</f>
        <v>=DISPIMG("ID_594D226E15F94117B34A8412EF104B1E",1)</v>
      </c>
      <c r="E362" s="22">
        <v>0.98</v>
      </c>
      <c r="F362" s="7"/>
      <c r="G362" s="7">
        <v>1</v>
      </c>
      <c r="H362" s="11" t="s">
        <v>13</v>
      </c>
      <c r="I362" s="11" t="s">
        <v>591</v>
      </c>
      <c r="J362" s="5" t="s">
        <v>680</v>
      </c>
    </row>
    <row r="363" hidden="1" customHeight="1" spans="1:10">
      <c r="A363" s="2">
        <v>385</v>
      </c>
      <c r="B363" s="7" t="s">
        <v>695</v>
      </c>
      <c r="C363" s="7" t="s">
        <v>684</v>
      </c>
      <c r="D363" s="7" t="str">
        <f>_xlfn.DISPIMG("ID_92817290954F40C280839ADD2C10E8D6",1)</f>
        <v>=DISPIMG("ID_92817290954F40C280839ADD2C10E8D6",1)</v>
      </c>
      <c r="E363" s="7"/>
      <c r="F363" s="7"/>
      <c r="G363" s="7">
        <v>1</v>
      </c>
      <c r="H363" s="11" t="s">
        <v>13</v>
      </c>
      <c r="I363" s="44" t="s">
        <v>625</v>
      </c>
      <c r="J363" s="5" t="s">
        <v>680</v>
      </c>
    </row>
    <row r="364" hidden="1" customHeight="1" spans="1:10">
      <c r="A364" s="2">
        <v>386</v>
      </c>
      <c r="B364" s="7" t="s">
        <v>696</v>
      </c>
      <c r="C364" s="11" t="s">
        <v>697</v>
      </c>
      <c r="D364" s="7" t="str">
        <f>_xlfn.DISPIMG("ID_AEF55545144B465FB8E383D3698B6258",1)</f>
        <v>=DISPIMG("ID_AEF55545144B465FB8E383D3698B6258",1)</v>
      </c>
      <c r="E364" s="22">
        <v>0.98</v>
      </c>
      <c r="F364" s="7" t="s">
        <v>45</v>
      </c>
      <c r="G364" s="7">
        <v>1</v>
      </c>
      <c r="H364" s="11" t="s">
        <v>13</v>
      </c>
      <c r="I364" s="44" t="s">
        <v>625</v>
      </c>
      <c r="J364" s="5" t="s">
        <v>680</v>
      </c>
    </row>
    <row r="365" hidden="1" customHeight="1" spans="1:10">
      <c r="A365" s="2">
        <v>387</v>
      </c>
      <c r="B365" s="7" t="s">
        <v>698</v>
      </c>
      <c r="C365" s="7" t="s">
        <v>699</v>
      </c>
      <c r="D365" s="7" t="str">
        <f>_xlfn.DISPIMG("ID_4C56CFFFE57745A68D1B9E72FB33E20B",1)</f>
        <v>=DISPIMG("ID_4C56CFFFE57745A68D1B9E72FB33E20B",1)</v>
      </c>
      <c r="E365" s="22">
        <v>0.98</v>
      </c>
      <c r="F365" s="7" t="s">
        <v>23</v>
      </c>
      <c r="G365" s="7">
        <v>2</v>
      </c>
      <c r="H365" s="11" t="s">
        <v>13</v>
      </c>
      <c r="I365" s="11" t="s">
        <v>591</v>
      </c>
      <c r="J365" s="5" t="s">
        <v>680</v>
      </c>
    </row>
    <row r="366" hidden="1" customHeight="1" spans="1:10">
      <c r="A366" s="2">
        <v>388</v>
      </c>
      <c r="B366" s="2" t="s">
        <v>700</v>
      </c>
      <c r="C366" s="2" t="s">
        <v>701</v>
      </c>
      <c r="D366" s="5" t="s">
        <v>702</v>
      </c>
      <c r="E366" s="20">
        <v>0.97</v>
      </c>
      <c r="F366" s="2" t="s">
        <v>45</v>
      </c>
      <c r="G366" s="2">
        <v>1</v>
      </c>
      <c r="H366" s="5" t="s">
        <v>13</v>
      </c>
      <c r="I366" s="11" t="s">
        <v>591</v>
      </c>
      <c r="J366" s="5" t="s">
        <v>680</v>
      </c>
    </row>
    <row r="367" hidden="1" customHeight="1" spans="1:10">
      <c r="A367" s="2">
        <v>389</v>
      </c>
      <c r="B367" s="7" t="s">
        <v>703</v>
      </c>
      <c r="C367" s="7" t="s">
        <v>704</v>
      </c>
      <c r="D367" s="7" t="str">
        <f>_xlfn.DISPIMG("ID_A189CB5B1D2A4C9D8F53E90563B51672",1)</f>
        <v>=DISPIMG("ID_A189CB5B1D2A4C9D8F53E90563B51672",1)</v>
      </c>
      <c r="E367" s="7"/>
      <c r="F367" s="7"/>
      <c r="G367" s="7">
        <v>1</v>
      </c>
      <c r="H367" s="11" t="s">
        <v>13</v>
      </c>
      <c r="I367" s="11" t="s">
        <v>591</v>
      </c>
      <c r="J367" s="5" t="s">
        <v>680</v>
      </c>
    </row>
    <row r="368" hidden="1" customHeight="1" spans="1:10">
      <c r="A368" s="2">
        <v>390</v>
      </c>
      <c r="B368" s="7" t="s">
        <v>705</v>
      </c>
      <c r="C368" s="7" t="s">
        <v>706</v>
      </c>
      <c r="D368" s="7" t="str">
        <f>_xlfn.DISPIMG("ID_A5812708033C4004A8E0D8BE29DE20E1",1)</f>
        <v>=DISPIMG("ID_A5812708033C4004A8E0D8BE29DE20E1",1)</v>
      </c>
      <c r="E368" s="7"/>
      <c r="F368" s="7" t="s">
        <v>23</v>
      </c>
      <c r="G368" s="7">
        <v>1</v>
      </c>
      <c r="H368" s="11" t="s">
        <v>13</v>
      </c>
      <c r="I368" s="44" t="s">
        <v>625</v>
      </c>
      <c r="J368" s="5" t="s">
        <v>680</v>
      </c>
    </row>
    <row r="369" hidden="1" customHeight="1" spans="1:10">
      <c r="A369" s="2">
        <v>391</v>
      </c>
      <c r="B369" s="7" t="s">
        <v>707</v>
      </c>
      <c r="C369" s="7" t="s">
        <v>708</v>
      </c>
      <c r="D369" s="7" t="str">
        <f>_xlfn.DISPIMG("ID_1BD2E008A7F24FB79BD1FC4170327770",1)</f>
        <v>=DISPIMG("ID_1BD2E008A7F24FB79BD1FC4170327770",1)</v>
      </c>
      <c r="E369" s="22">
        <v>0.98</v>
      </c>
      <c r="F369" s="7" t="s">
        <v>45</v>
      </c>
      <c r="G369" s="7">
        <v>1</v>
      </c>
      <c r="H369" s="11" t="s">
        <v>13</v>
      </c>
      <c r="I369" s="44" t="s">
        <v>625</v>
      </c>
      <c r="J369" s="5" t="s">
        <v>680</v>
      </c>
    </row>
    <row r="370" hidden="1" customHeight="1" spans="1:10">
      <c r="A370" s="2">
        <v>392</v>
      </c>
      <c r="B370" s="7" t="s">
        <v>709</v>
      </c>
      <c r="C370" s="7" t="s">
        <v>710</v>
      </c>
      <c r="D370" s="7" t="str">
        <f>_xlfn.DISPIMG("ID_3E452EED2FBE4A6EB3961BC71977EE85",1)</f>
        <v>=DISPIMG("ID_3E452EED2FBE4A6EB3961BC71977EE85",1)</v>
      </c>
      <c r="E370" s="22">
        <v>0.98</v>
      </c>
      <c r="F370" s="7" t="s">
        <v>50</v>
      </c>
      <c r="G370" s="7">
        <v>1</v>
      </c>
      <c r="H370" s="11" t="s">
        <v>13</v>
      </c>
      <c r="I370" s="44" t="s">
        <v>625</v>
      </c>
      <c r="J370" s="5" t="s">
        <v>680</v>
      </c>
    </row>
    <row r="371" hidden="1" customHeight="1" spans="1:10">
      <c r="A371" s="2">
        <v>393</v>
      </c>
      <c r="B371" s="7" t="s">
        <v>711</v>
      </c>
      <c r="C371" s="7" t="s">
        <v>712</v>
      </c>
      <c r="D371" s="7" t="str">
        <f>_xlfn.DISPIMG("ID_48074A1BA372444A9163A579C7D85792",1)</f>
        <v>=DISPIMG("ID_48074A1BA372444A9163A579C7D85792",1)</v>
      </c>
      <c r="E371" s="22">
        <v>0.98</v>
      </c>
      <c r="F371" s="7" t="s">
        <v>45</v>
      </c>
      <c r="G371" s="7">
        <v>1</v>
      </c>
      <c r="H371" s="11" t="s">
        <v>13</v>
      </c>
      <c r="I371" s="44" t="s">
        <v>625</v>
      </c>
      <c r="J371" s="5" t="s">
        <v>680</v>
      </c>
    </row>
    <row r="372" hidden="1" customHeight="1" spans="1:10">
      <c r="A372" s="2">
        <v>394</v>
      </c>
      <c r="B372" s="7" t="s">
        <v>713</v>
      </c>
      <c r="C372" s="7" t="s">
        <v>651</v>
      </c>
      <c r="D372" s="7" t="str">
        <f>_xlfn.DISPIMG("ID_59689A82E15F4CBFBADF817CC26B07A2",1)</f>
        <v>=DISPIMG("ID_59689A82E15F4CBFBADF817CC26B07A2",1)</v>
      </c>
      <c r="E372" s="7"/>
      <c r="F372" s="7"/>
      <c r="G372" s="7">
        <v>4</v>
      </c>
      <c r="H372" s="11" t="s">
        <v>13</v>
      </c>
      <c r="I372" s="44" t="s">
        <v>625</v>
      </c>
      <c r="J372" s="5" t="s">
        <v>680</v>
      </c>
    </row>
    <row r="373" hidden="1" customHeight="1" spans="1:10">
      <c r="A373" s="2">
        <v>395</v>
      </c>
      <c r="B373" s="7" t="s">
        <v>714</v>
      </c>
      <c r="C373" s="7" t="s">
        <v>715</v>
      </c>
      <c r="D373" s="7" t="str">
        <f>_xlfn.DISPIMG("ID_53262CCE89014717AAF1ABFE6C1608D7",1)</f>
        <v>=DISPIMG("ID_53262CCE89014717AAF1ABFE6C1608D7",1)</v>
      </c>
      <c r="E373" s="22">
        <v>0.98</v>
      </c>
      <c r="F373" s="7" t="s">
        <v>45</v>
      </c>
      <c r="G373" s="7">
        <v>1</v>
      </c>
      <c r="H373" s="11" t="s">
        <v>13</v>
      </c>
      <c r="I373" s="44" t="s">
        <v>625</v>
      </c>
      <c r="J373" s="5" t="s">
        <v>680</v>
      </c>
    </row>
    <row r="374" hidden="1" customHeight="1" spans="1:10">
      <c r="A374" s="2">
        <v>396</v>
      </c>
      <c r="B374" s="7" t="s">
        <v>716</v>
      </c>
      <c r="C374" s="7" t="s">
        <v>717</v>
      </c>
      <c r="D374" s="7" t="str">
        <f>_xlfn.DISPIMG("ID_736FC3FC4A6349EA9BA6F25673C23020",1)</f>
        <v>=DISPIMG("ID_736FC3FC4A6349EA9BA6F25673C23020",1)</v>
      </c>
      <c r="E374" s="22">
        <v>0.98</v>
      </c>
      <c r="F374" s="7"/>
      <c r="G374" s="7">
        <v>1</v>
      </c>
      <c r="H374" s="11" t="s">
        <v>13</v>
      </c>
      <c r="I374" s="44" t="s">
        <v>625</v>
      </c>
      <c r="J374" s="5" t="s">
        <v>680</v>
      </c>
    </row>
    <row r="375" hidden="1" customHeight="1" spans="1:10">
      <c r="A375" s="2">
        <v>397</v>
      </c>
      <c r="B375" s="43" t="s">
        <v>718</v>
      </c>
      <c r="C375" s="12">
        <v>28954</v>
      </c>
      <c r="D375" s="7" t="str">
        <f>_xlfn.DISPIMG("ID_57187143CEDC448496C3B38B60E1D4F5",1)</f>
        <v>=DISPIMG("ID_57187143CEDC448496C3B38B60E1D4F5",1)</v>
      </c>
      <c r="E375" s="22">
        <v>0.98</v>
      </c>
      <c r="F375" s="7" t="s">
        <v>50</v>
      </c>
      <c r="G375" s="7">
        <v>1</v>
      </c>
      <c r="H375" s="11" t="s">
        <v>13</v>
      </c>
      <c r="I375" s="11" t="s">
        <v>591</v>
      </c>
      <c r="J375" s="5" t="s">
        <v>680</v>
      </c>
    </row>
    <row r="376" hidden="1" customHeight="1" spans="1:10">
      <c r="A376" s="2">
        <v>398</v>
      </c>
      <c r="B376" s="6" t="s">
        <v>719</v>
      </c>
      <c r="C376" s="7" t="s">
        <v>720</v>
      </c>
      <c r="D376" s="7" t="s">
        <v>721</v>
      </c>
      <c r="E376" s="22">
        <v>0.97</v>
      </c>
      <c r="F376" s="7" t="s">
        <v>161</v>
      </c>
      <c r="G376" s="7">
        <v>1</v>
      </c>
      <c r="H376" s="11" t="s">
        <v>13</v>
      </c>
      <c r="I376" s="44" t="s">
        <v>625</v>
      </c>
      <c r="J376" s="5" t="s">
        <v>680</v>
      </c>
    </row>
    <row r="377" hidden="1" customHeight="1" spans="1:10">
      <c r="A377" s="2">
        <v>399</v>
      </c>
      <c r="B377" s="7" t="s">
        <v>722</v>
      </c>
      <c r="C377" s="7" t="s">
        <v>723</v>
      </c>
      <c r="D377" s="7" t="str">
        <f>_xlfn.DISPIMG("ID_B61CCE1BC5774176965863F4EBEA2D63",1)</f>
        <v>=DISPIMG("ID_B61CCE1BC5774176965863F4EBEA2D63",1)</v>
      </c>
      <c r="E377" s="22">
        <v>0.97</v>
      </c>
      <c r="F377" s="7" t="s">
        <v>45</v>
      </c>
      <c r="G377" s="7">
        <v>1</v>
      </c>
      <c r="H377" s="11" t="s">
        <v>13</v>
      </c>
      <c r="I377" s="11" t="s">
        <v>591</v>
      </c>
      <c r="J377" s="5" t="s">
        <v>680</v>
      </c>
    </row>
    <row r="378" hidden="1" customHeight="1" spans="1:10">
      <c r="A378" s="2">
        <v>400</v>
      </c>
      <c r="B378" s="7" t="s">
        <v>724</v>
      </c>
      <c r="C378" s="7" t="s">
        <v>725</v>
      </c>
      <c r="D378" s="7" t="str">
        <f>_xlfn.DISPIMG("ID_9402DAEACBDA44E0956458339A5E6520",1)</f>
        <v>=DISPIMG("ID_9402DAEACBDA44E0956458339A5E6520",1)</v>
      </c>
      <c r="E378" s="22">
        <v>0.98</v>
      </c>
      <c r="F378" s="7" t="s">
        <v>45</v>
      </c>
      <c r="G378" s="7">
        <v>1</v>
      </c>
      <c r="H378" s="11" t="s">
        <v>13</v>
      </c>
      <c r="I378" s="11" t="s">
        <v>591</v>
      </c>
      <c r="J378" s="5" t="s">
        <v>680</v>
      </c>
    </row>
    <row r="379" hidden="1" customHeight="1" spans="1:10">
      <c r="A379" s="2">
        <v>401</v>
      </c>
      <c r="B379" s="7" t="s">
        <v>726</v>
      </c>
      <c r="C379" s="7" t="s">
        <v>727</v>
      </c>
      <c r="D379" s="7" t="str">
        <f>_xlfn.DISPIMG("ID_337F73AC5F0C4FE9AE173D8EB71631F0",1)</f>
        <v>=DISPIMG("ID_337F73AC5F0C4FE9AE173D8EB71631F0",1)</v>
      </c>
      <c r="E379" s="22">
        <v>0.95</v>
      </c>
      <c r="F379" s="7" t="s">
        <v>23</v>
      </c>
      <c r="G379" s="7">
        <v>1</v>
      </c>
      <c r="H379" s="11" t="s">
        <v>13</v>
      </c>
      <c r="I379" s="11" t="s">
        <v>591</v>
      </c>
      <c r="J379" s="5" t="s">
        <v>680</v>
      </c>
    </row>
    <row r="380" hidden="1" customHeight="1" spans="1:10">
      <c r="A380" s="2">
        <v>402</v>
      </c>
      <c r="B380" s="7" t="s">
        <v>617</v>
      </c>
      <c r="C380" s="39" t="s">
        <v>618</v>
      </c>
      <c r="D380" s="7" t="str">
        <f>_xlfn.DISPIMG("ID_2A82942ECB654D8DA390AA7FD430B283",1)</f>
        <v>=DISPIMG("ID_2A82942ECB654D8DA390AA7FD430B283",1)</v>
      </c>
      <c r="E380" s="7"/>
      <c r="F380" s="7"/>
      <c r="G380" s="7">
        <v>1</v>
      </c>
      <c r="H380" s="11" t="s">
        <v>13</v>
      </c>
      <c r="I380" s="11" t="s">
        <v>591</v>
      </c>
      <c r="J380" s="5" t="s">
        <v>680</v>
      </c>
    </row>
    <row r="381" hidden="1" customHeight="1" spans="1:10">
      <c r="A381" s="2">
        <v>403</v>
      </c>
      <c r="B381" s="7" t="s">
        <v>728</v>
      </c>
      <c r="C381" s="7" t="s">
        <v>729</v>
      </c>
      <c r="D381" s="7" t="str">
        <f>_xlfn.DISPIMG("ID_69223F92267C48899949AB34059F8C15",1)</f>
        <v>=DISPIMG("ID_69223F92267C48899949AB34059F8C15",1)</v>
      </c>
      <c r="E381" s="22">
        <v>0.99</v>
      </c>
      <c r="F381" s="7" t="s">
        <v>57</v>
      </c>
      <c r="G381" s="7">
        <v>1</v>
      </c>
      <c r="H381" s="11" t="s">
        <v>13</v>
      </c>
      <c r="I381" s="11" t="s">
        <v>591</v>
      </c>
      <c r="J381" s="5" t="s">
        <v>680</v>
      </c>
    </row>
    <row r="382" hidden="1" customHeight="1" spans="1:10">
      <c r="A382" s="2">
        <v>404</v>
      </c>
      <c r="B382" s="7" t="s">
        <v>730</v>
      </c>
      <c r="C382" s="7" t="s">
        <v>731</v>
      </c>
      <c r="D382" s="7" t="str">
        <f>_xlfn.DISPIMG("ID_17452486939B474A9E386A8694871C17",1)</f>
        <v>=DISPIMG("ID_17452486939B474A9E386A8694871C17",1)</v>
      </c>
      <c r="E382" s="22">
        <v>0.99</v>
      </c>
      <c r="F382" s="7" t="s">
        <v>23</v>
      </c>
      <c r="G382" s="7">
        <v>1</v>
      </c>
      <c r="H382" s="11" t="s">
        <v>117</v>
      </c>
      <c r="I382" s="11" t="s">
        <v>591</v>
      </c>
      <c r="J382" s="5" t="s">
        <v>680</v>
      </c>
    </row>
    <row r="383" hidden="1" customHeight="1" spans="1:10">
      <c r="A383" s="2">
        <v>405</v>
      </c>
      <c r="B383" s="7" t="s">
        <v>732</v>
      </c>
      <c r="C383" s="7" t="s">
        <v>731</v>
      </c>
      <c r="D383" s="7" t="str">
        <f>_xlfn.DISPIMG("ID_9D1BD5559FA44BF1A4B4F1990986AB11",1)</f>
        <v>=DISPIMG("ID_9D1BD5559FA44BF1A4B4F1990986AB11",1)</v>
      </c>
      <c r="E383" s="22">
        <v>0.99</v>
      </c>
      <c r="F383" s="7" t="s">
        <v>23</v>
      </c>
      <c r="G383" s="7">
        <v>1</v>
      </c>
      <c r="H383" s="11" t="s">
        <v>117</v>
      </c>
      <c r="I383" s="11" t="s">
        <v>591</v>
      </c>
      <c r="J383" s="5" t="s">
        <v>680</v>
      </c>
    </row>
    <row r="384" hidden="1" customHeight="1" spans="1:10">
      <c r="A384" s="2">
        <v>406</v>
      </c>
      <c r="B384" s="7" t="s">
        <v>733</v>
      </c>
      <c r="C384" s="11" t="s">
        <v>734</v>
      </c>
      <c r="D384" s="7" t="str">
        <f>_xlfn.DISPIMG("ID_CBFC3EBA615E4E89A17D0D07DFA1CCBC",1)</f>
        <v>=DISPIMG("ID_CBFC3EBA615E4E89A17D0D07DFA1CCBC",1)</v>
      </c>
      <c r="E384" s="7"/>
      <c r="F384" s="7"/>
      <c r="G384" s="7">
        <v>1</v>
      </c>
      <c r="H384" s="11" t="s">
        <v>13</v>
      </c>
      <c r="I384" s="11" t="s">
        <v>591</v>
      </c>
      <c r="J384" s="5" t="s">
        <v>680</v>
      </c>
    </row>
    <row r="385" hidden="1" customHeight="1" spans="1:10">
      <c r="A385" s="2">
        <v>407</v>
      </c>
      <c r="B385" s="7" t="s">
        <v>735</v>
      </c>
      <c r="C385" s="7" t="s">
        <v>736</v>
      </c>
      <c r="D385" s="7" t="str">
        <f>_xlfn.DISPIMG("ID_EC380749CD0C400E89EF32E91C2559E0",1)</f>
        <v>=DISPIMG("ID_EC380749CD0C400E89EF32E91C2559E0",1)</v>
      </c>
      <c r="E385" s="22">
        <v>0.98</v>
      </c>
      <c r="F385" s="7" t="s">
        <v>50</v>
      </c>
      <c r="G385" s="7">
        <v>1</v>
      </c>
      <c r="H385" s="11" t="s">
        <v>13</v>
      </c>
      <c r="I385" s="11" t="s">
        <v>591</v>
      </c>
      <c r="J385" s="5" t="s">
        <v>680</v>
      </c>
    </row>
    <row r="386" hidden="1" customHeight="1" spans="1:10">
      <c r="A386" s="2">
        <v>408</v>
      </c>
      <c r="B386" s="6" t="s">
        <v>737</v>
      </c>
      <c r="C386" s="7" t="s">
        <v>738</v>
      </c>
      <c r="D386" s="7" t="str">
        <f>_xlfn.DISPIMG("ID_ACA2274CD2304C92B770B00AD8E2C105",1)</f>
        <v>=DISPIMG("ID_ACA2274CD2304C92B770B00AD8E2C105",1)</v>
      </c>
      <c r="E386" s="7"/>
      <c r="F386" s="7"/>
      <c r="G386" s="7">
        <v>1</v>
      </c>
      <c r="H386" s="11" t="s">
        <v>13</v>
      </c>
      <c r="I386" s="11" t="s">
        <v>591</v>
      </c>
      <c r="J386" s="5" t="s">
        <v>680</v>
      </c>
    </row>
    <row r="387" hidden="1" customHeight="1" spans="1:10">
      <c r="A387" s="2">
        <v>409</v>
      </c>
      <c r="B387" s="7" t="s">
        <v>739</v>
      </c>
      <c r="C387" s="7" t="s">
        <v>740</v>
      </c>
      <c r="D387" s="7" t="str">
        <f>_xlfn.DISPIMG("ID_FA745464C37C446A9D32D9D89D9E953F",1)</f>
        <v>=DISPIMG("ID_FA745464C37C446A9D32D9D89D9E953F",1)</v>
      </c>
      <c r="E387" s="22">
        <v>0.99</v>
      </c>
      <c r="F387" s="7" t="s">
        <v>50</v>
      </c>
      <c r="G387" s="7">
        <v>1</v>
      </c>
      <c r="H387" s="11" t="s">
        <v>13</v>
      </c>
      <c r="I387" s="44" t="s">
        <v>625</v>
      </c>
      <c r="J387" s="5" t="s">
        <v>680</v>
      </c>
    </row>
    <row r="388" hidden="1" customHeight="1" spans="1:10">
      <c r="A388" s="2">
        <v>410</v>
      </c>
      <c r="B388" s="6" t="s">
        <v>741</v>
      </c>
      <c r="C388" s="7" t="s">
        <v>701</v>
      </c>
      <c r="D388" s="7" t="s">
        <v>742</v>
      </c>
      <c r="E388" s="22">
        <v>0.99</v>
      </c>
      <c r="F388" s="7" t="s">
        <v>45</v>
      </c>
      <c r="G388" s="7">
        <v>1</v>
      </c>
      <c r="H388" s="11" t="s">
        <v>13</v>
      </c>
      <c r="I388" s="44" t="s">
        <v>625</v>
      </c>
      <c r="J388" s="5" t="s">
        <v>680</v>
      </c>
    </row>
    <row r="389" hidden="1" customHeight="1" spans="1:10">
      <c r="A389" s="2">
        <v>411</v>
      </c>
      <c r="B389" s="7" t="s">
        <v>743</v>
      </c>
      <c r="C389" s="7" t="s">
        <v>744</v>
      </c>
      <c r="D389" s="7" t="str">
        <f>_xlfn.DISPIMG("ID_961EB3D8A74440BEBA6E96B6F3F988CC",1)</f>
        <v>=DISPIMG("ID_961EB3D8A74440BEBA6E96B6F3F988CC",1)</v>
      </c>
      <c r="E389" s="23">
        <v>0.99</v>
      </c>
      <c r="F389" s="7" t="s">
        <v>50</v>
      </c>
      <c r="G389" s="7">
        <v>1</v>
      </c>
      <c r="H389" s="11" t="s">
        <v>13</v>
      </c>
      <c r="I389" s="11" t="s">
        <v>591</v>
      </c>
      <c r="J389" s="5" t="s">
        <v>680</v>
      </c>
    </row>
    <row r="390" hidden="1" customHeight="1" spans="1:10">
      <c r="A390" s="2">
        <v>412</v>
      </c>
      <c r="B390" s="7" t="s">
        <v>745</v>
      </c>
      <c r="C390" s="7" t="s">
        <v>746</v>
      </c>
      <c r="D390" s="7"/>
      <c r="E390" s="7"/>
      <c r="F390" s="7"/>
      <c r="G390" s="7">
        <v>1</v>
      </c>
      <c r="H390" s="11" t="s">
        <v>117</v>
      </c>
      <c r="I390" s="11" t="s">
        <v>591</v>
      </c>
      <c r="J390" s="5" t="s">
        <v>680</v>
      </c>
    </row>
    <row r="391" hidden="1" customHeight="1" spans="1:10">
      <c r="A391" s="2">
        <v>413</v>
      </c>
      <c r="B391" s="6" t="s">
        <v>747</v>
      </c>
      <c r="C391" s="7" t="s">
        <v>594</v>
      </c>
      <c r="D391" s="7" t="s">
        <v>748</v>
      </c>
      <c r="E391" s="23">
        <v>0.999</v>
      </c>
      <c r="F391" s="7" t="s">
        <v>57</v>
      </c>
      <c r="G391" s="7">
        <v>1</v>
      </c>
      <c r="H391" s="11" t="s">
        <v>13</v>
      </c>
      <c r="I391" s="11" t="s">
        <v>591</v>
      </c>
      <c r="J391" s="5" t="s">
        <v>680</v>
      </c>
    </row>
    <row r="392" hidden="1" customHeight="1" spans="1:10">
      <c r="A392" s="2">
        <v>414</v>
      </c>
      <c r="B392" s="7" t="s">
        <v>681</v>
      </c>
      <c r="C392" s="7" t="s">
        <v>621</v>
      </c>
      <c r="D392" s="7" t="str">
        <f>_xlfn.DISPIMG("ID_D8F7147F03774C4D911512FE728ED639",1)</f>
        <v>=DISPIMG("ID_D8F7147F03774C4D911512FE728ED639",1)</v>
      </c>
      <c r="E392" s="7" t="s">
        <v>443</v>
      </c>
      <c r="F392" s="7" t="s">
        <v>12</v>
      </c>
      <c r="G392" s="7">
        <v>2</v>
      </c>
      <c r="H392" s="11" t="s">
        <v>13</v>
      </c>
      <c r="I392" s="11" t="s">
        <v>591</v>
      </c>
      <c r="J392" s="5" t="s">
        <v>680</v>
      </c>
    </row>
    <row r="393" hidden="1" customHeight="1" spans="1:10">
      <c r="A393" s="2">
        <v>415</v>
      </c>
      <c r="B393" s="7" t="s">
        <v>628</v>
      </c>
      <c r="C393" s="7" t="s">
        <v>629</v>
      </c>
      <c r="D393" s="7" t="str">
        <f>_xlfn.DISPIMG("ID_23038F479EE34ED7B3C6B8308D1F6E0E",1)</f>
        <v>=DISPIMG("ID_23038F479EE34ED7B3C6B8308D1F6E0E",1)</v>
      </c>
      <c r="E393" s="7" t="s">
        <v>107</v>
      </c>
      <c r="F393" s="7" t="s">
        <v>12</v>
      </c>
      <c r="G393" s="7">
        <v>1</v>
      </c>
      <c r="H393" s="11" t="s">
        <v>13</v>
      </c>
      <c r="I393" s="11" t="s">
        <v>591</v>
      </c>
      <c r="J393" s="5" t="s">
        <v>680</v>
      </c>
    </row>
    <row r="394" hidden="1" customHeight="1" spans="1:10">
      <c r="A394" s="2">
        <v>416</v>
      </c>
      <c r="B394" s="7" t="s">
        <v>593</v>
      </c>
      <c r="C394" s="7" t="s">
        <v>594</v>
      </c>
      <c r="D394" s="7" t="s">
        <v>748</v>
      </c>
      <c r="E394" s="7"/>
      <c r="F394" s="7" t="s">
        <v>12</v>
      </c>
      <c r="G394" s="7">
        <v>2</v>
      </c>
      <c r="H394" s="11" t="s">
        <v>13</v>
      </c>
      <c r="I394" s="11" t="s">
        <v>591</v>
      </c>
      <c r="J394" s="5" t="s">
        <v>680</v>
      </c>
    </row>
    <row r="395" hidden="1" customHeight="1" spans="1:10">
      <c r="A395" s="2">
        <v>417</v>
      </c>
      <c r="B395" s="7" t="s">
        <v>749</v>
      </c>
      <c r="C395" s="11" t="s">
        <v>750</v>
      </c>
      <c r="D395" s="7" t="s">
        <v>751</v>
      </c>
      <c r="E395" s="22">
        <v>0.99</v>
      </c>
      <c r="F395" s="7" t="s">
        <v>752</v>
      </c>
      <c r="G395" s="7">
        <v>2</v>
      </c>
      <c r="H395" s="11" t="s">
        <v>13</v>
      </c>
      <c r="I395" s="11" t="s">
        <v>591</v>
      </c>
      <c r="J395" s="5" t="s">
        <v>680</v>
      </c>
    </row>
    <row r="396" hidden="1" customHeight="1" spans="1:10">
      <c r="A396" s="2">
        <v>418</v>
      </c>
      <c r="B396" s="5" t="s">
        <v>753</v>
      </c>
      <c r="C396" s="5" t="s">
        <v>633</v>
      </c>
      <c r="F396" s="5" t="s">
        <v>12</v>
      </c>
      <c r="G396" s="2">
        <v>1</v>
      </c>
      <c r="H396" s="5" t="s">
        <v>13</v>
      </c>
      <c r="I396" s="5" t="s">
        <v>591</v>
      </c>
      <c r="J396" s="5" t="s">
        <v>680</v>
      </c>
    </row>
    <row r="397" hidden="1" customHeight="1" spans="1:10">
      <c r="A397" s="2">
        <v>419</v>
      </c>
      <c r="B397" s="5" t="s">
        <v>754</v>
      </c>
      <c r="C397" s="5" t="s">
        <v>564</v>
      </c>
      <c r="D397" s="2" t="str">
        <f>_xlfn.DISPIMG("ID_AE3EDCE2F2E04B15830070A6EA6FA2B1",1)</f>
        <v>=DISPIMG("ID_AE3EDCE2F2E04B15830070A6EA6FA2B1",1)</v>
      </c>
      <c r="E397" s="20">
        <v>0.99</v>
      </c>
      <c r="F397" s="5" t="s">
        <v>12</v>
      </c>
      <c r="G397" s="2">
        <v>1</v>
      </c>
      <c r="H397" s="5" t="s">
        <v>13</v>
      </c>
      <c r="I397" s="5" t="s">
        <v>591</v>
      </c>
      <c r="J397" s="5" t="s">
        <v>680</v>
      </c>
    </row>
    <row r="398" hidden="1" customHeight="1" spans="1:10">
      <c r="A398" s="2">
        <v>420</v>
      </c>
      <c r="B398" s="45" t="s">
        <v>755</v>
      </c>
      <c r="C398" s="5" t="s">
        <v>756</v>
      </c>
      <c r="D398" s="2" t="str">
        <f>_xlfn.DISPIMG("ID_84444F3E109942D382A16087AF3980FA",1)</f>
        <v>=DISPIMG("ID_84444F3E109942D382A16087AF3980FA",1)</v>
      </c>
      <c r="E398" s="20">
        <v>0.98</v>
      </c>
      <c r="F398" s="5" t="s">
        <v>23</v>
      </c>
      <c r="G398" s="2">
        <v>1</v>
      </c>
      <c r="H398" s="5" t="s">
        <v>13</v>
      </c>
      <c r="I398" s="5" t="s">
        <v>591</v>
      </c>
      <c r="J398" s="5" t="s">
        <v>680</v>
      </c>
    </row>
    <row r="399" hidden="1" customHeight="1" spans="1:10">
      <c r="A399" s="2">
        <v>421</v>
      </c>
      <c r="B399" s="7" t="s">
        <v>749</v>
      </c>
      <c r="C399" s="11" t="s">
        <v>750</v>
      </c>
      <c r="D399" s="7" t="s">
        <v>751</v>
      </c>
      <c r="E399" s="23">
        <v>0.995</v>
      </c>
      <c r="F399" s="7" t="s">
        <v>12</v>
      </c>
      <c r="G399" s="7">
        <v>1</v>
      </c>
      <c r="H399" s="11" t="s">
        <v>13</v>
      </c>
      <c r="I399" s="11" t="s">
        <v>591</v>
      </c>
      <c r="J399" s="5" t="s">
        <v>757</v>
      </c>
    </row>
    <row r="400" hidden="1" customHeight="1" spans="1:10">
      <c r="A400" s="2">
        <v>429</v>
      </c>
      <c r="B400" s="7" t="s">
        <v>758</v>
      </c>
      <c r="C400" s="7" t="s">
        <v>759</v>
      </c>
      <c r="D400" s="7" t="str">
        <f>_xlfn.DISPIMG("ID_E36F8527103A4D30AC40977912080197",1)</f>
        <v>=DISPIMG("ID_E36F8527103A4D30AC40977912080197",1)</v>
      </c>
      <c r="E400" s="22">
        <v>0.97</v>
      </c>
      <c r="F400" s="7" t="s">
        <v>23</v>
      </c>
      <c r="G400" s="7">
        <v>1</v>
      </c>
      <c r="H400" s="11" t="s">
        <v>117</v>
      </c>
      <c r="I400" s="11" t="s">
        <v>591</v>
      </c>
      <c r="J400" s="11" t="s">
        <v>24</v>
      </c>
    </row>
    <row r="401" hidden="1" customHeight="1" spans="1:10">
      <c r="A401" s="2">
        <v>430</v>
      </c>
      <c r="B401" s="7" t="s">
        <v>760</v>
      </c>
      <c r="C401" s="7" t="s">
        <v>761</v>
      </c>
      <c r="D401" s="7" t="str">
        <f>_xlfn.DISPIMG("ID_B07B510706554B4EBDE20522498FF08D",1)</f>
        <v>=DISPIMG("ID_B07B510706554B4EBDE20522498FF08D",1)</v>
      </c>
      <c r="E401" s="22">
        <v>0.98</v>
      </c>
      <c r="F401" s="7" t="s">
        <v>45</v>
      </c>
      <c r="G401" s="7">
        <v>1</v>
      </c>
      <c r="H401" s="11" t="s">
        <v>13</v>
      </c>
      <c r="I401" s="44" t="s">
        <v>625</v>
      </c>
      <c r="J401" s="11" t="s">
        <v>24</v>
      </c>
    </row>
    <row r="402" hidden="1" customHeight="1" spans="1:10">
      <c r="A402" s="2">
        <v>431</v>
      </c>
      <c r="B402" s="7" t="s">
        <v>762</v>
      </c>
      <c r="C402" s="7" t="s">
        <v>763</v>
      </c>
      <c r="D402" s="7" t="str">
        <f>_xlfn.DISPIMG("ID_7C9F43217EED42AE9CF244CF23AB8A6C",1)</f>
        <v>=DISPIMG("ID_7C9F43217EED42AE9CF244CF23AB8A6C",1)</v>
      </c>
      <c r="E402" s="22">
        <v>0.98</v>
      </c>
      <c r="F402" s="7" t="s">
        <v>27</v>
      </c>
      <c r="G402" s="7">
        <v>1</v>
      </c>
      <c r="H402" s="11" t="s">
        <v>13</v>
      </c>
      <c r="I402" s="11" t="s">
        <v>591</v>
      </c>
      <c r="J402" s="11" t="s">
        <v>24</v>
      </c>
    </row>
    <row r="403" hidden="1" customHeight="1" spans="1:10">
      <c r="A403" s="2">
        <v>480</v>
      </c>
      <c r="B403" s="7" t="s">
        <v>764</v>
      </c>
      <c r="C403" s="11" t="s">
        <v>765</v>
      </c>
      <c r="D403" s="7" t="str">
        <f>_xlfn.DISPIMG("ID_9745C623B4894EB9ACBE9086E73954B8",1)</f>
        <v>=DISPIMG("ID_9745C623B4894EB9ACBE9086E73954B8",1)</v>
      </c>
      <c r="E403" s="22">
        <v>0.98</v>
      </c>
      <c r="F403" s="7" t="s">
        <v>50</v>
      </c>
      <c r="G403" s="7">
        <v>2</v>
      </c>
      <c r="H403" s="11" t="s">
        <v>13</v>
      </c>
      <c r="I403" s="11" t="s">
        <v>591</v>
      </c>
      <c r="J403" s="11" t="s">
        <v>58</v>
      </c>
    </row>
    <row r="404" hidden="1" customHeight="1" spans="1:10">
      <c r="A404" s="2">
        <v>524</v>
      </c>
      <c r="B404" s="7" t="s">
        <v>766</v>
      </c>
      <c r="C404" s="7" t="s">
        <v>767</v>
      </c>
      <c r="D404" s="7" t="str">
        <f>_xlfn.DISPIMG("ID_D4873BED911E4E52A5B9ECCE6F8476E8",1)</f>
        <v>=DISPIMG("ID_D4873BED911E4E52A5B9ECCE6F8476E8",1)</v>
      </c>
      <c r="E404" s="22">
        <v>0.98</v>
      </c>
      <c r="F404" s="7" t="s">
        <v>50</v>
      </c>
      <c r="G404" s="7">
        <v>1</v>
      </c>
      <c r="H404" s="11" t="s">
        <v>13</v>
      </c>
      <c r="I404" s="11" t="s">
        <v>591</v>
      </c>
      <c r="J404" s="11" t="s">
        <v>187</v>
      </c>
    </row>
    <row r="405" hidden="1" customHeight="1" spans="1:10">
      <c r="A405" s="2">
        <v>525</v>
      </c>
      <c r="B405" s="7" t="s">
        <v>768</v>
      </c>
      <c r="C405" s="7" t="s">
        <v>769</v>
      </c>
      <c r="D405" s="7" t="str">
        <f>_xlfn.DISPIMG("ID_BEAFDD550BE74A0A8D0CB111BED21806",1)</f>
        <v>=DISPIMG("ID_BEAFDD550BE74A0A8D0CB111BED21806",1)</v>
      </c>
      <c r="E405" s="22">
        <v>0.99</v>
      </c>
      <c r="F405" s="7" t="s">
        <v>110</v>
      </c>
      <c r="G405" s="7">
        <v>1</v>
      </c>
      <c r="H405" s="11" t="s">
        <v>13</v>
      </c>
      <c r="I405" s="11" t="s">
        <v>591</v>
      </c>
      <c r="J405" s="11" t="s">
        <v>187</v>
      </c>
    </row>
    <row r="406" hidden="1" customHeight="1" spans="1:10">
      <c r="A406" s="2">
        <v>527</v>
      </c>
      <c r="B406" s="7" t="s">
        <v>662</v>
      </c>
      <c r="C406" s="7" t="s">
        <v>663</v>
      </c>
      <c r="D406" s="7" t="str">
        <f>_xlfn.DISPIMG("ID_52D2BBEE1B644495993B806B553CCEE9",1)</f>
        <v>=DISPIMG("ID_52D2BBEE1B644495993B806B553CCEE9",1)</v>
      </c>
      <c r="E406" s="7">
        <v>0.995</v>
      </c>
      <c r="F406" s="7" t="s">
        <v>12</v>
      </c>
      <c r="G406" s="7">
        <v>2</v>
      </c>
      <c r="H406" s="7" t="s">
        <v>770</v>
      </c>
      <c r="I406" s="7" t="s">
        <v>771</v>
      </c>
      <c r="J406" s="7" t="s">
        <v>772</v>
      </c>
    </row>
    <row r="407" hidden="1" customHeight="1" spans="1:10">
      <c r="A407" s="2">
        <v>534</v>
      </c>
      <c r="B407" s="7" t="s">
        <v>773</v>
      </c>
      <c r="C407" s="7" t="s">
        <v>774</v>
      </c>
      <c r="D407" s="7" t="str">
        <f>_xlfn.DISPIMG("ID_7F15B0F2FFED45C588163C502275CF52",1)</f>
        <v>=DISPIMG("ID_7F15B0F2FFED45C588163C502275CF52",1)</v>
      </c>
      <c r="E407" s="22">
        <v>0.98</v>
      </c>
      <c r="F407" s="7" t="s">
        <v>175</v>
      </c>
      <c r="G407" s="7">
        <v>1</v>
      </c>
      <c r="H407" s="11" t="s">
        <v>13</v>
      </c>
      <c r="I407" s="11" t="s">
        <v>591</v>
      </c>
      <c r="J407" s="11" t="s">
        <v>775</v>
      </c>
    </row>
    <row r="408" hidden="1" customHeight="1" spans="1:10">
      <c r="A408" s="2">
        <v>546</v>
      </c>
      <c r="B408" s="7" t="s">
        <v>776</v>
      </c>
      <c r="C408" s="7" t="s">
        <v>777</v>
      </c>
      <c r="D408" s="7" t="str">
        <f>_xlfn.DISPIMG("ID_51D83EAC897844C78EE2FD55E346A89E",1)</f>
        <v>=DISPIMG("ID_51D83EAC897844C78EE2FD55E346A89E",1)</v>
      </c>
      <c r="E408" s="22">
        <v>0.98</v>
      </c>
      <c r="F408" s="7" t="s">
        <v>161</v>
      </c>
      <c r="G408" s="7">
        <v>1</v>
      </c>
      <c r="H408" s="11" t="s">
        <v>13</v>
      </c>
      <c r="I408" s="11" t="s">
        <v>591</v>
      </c>
      <c r="J408" s="11" t="s">
        <v>196</v>
      </c>
    </row>
    <row r="409" hidden="1" customHeight="1" spans="1:10">
      <c r="A409" s="2">
        <v>547</v>
      </c>
      <c r="B409" s="7" t="s">
        <v>778</v>
      </c>
      <c r="C409" s="7" t="s">
        <v>779</v>
      </c>
      <c r="D409" s="7" t="str">
        <f>_xlfn.DISPIMG("ID_F5E27911A1BE4679BDDC0AD20B99C532",1)</f>
        <v>=DISPIMG("ID_F5E27911A1BE4679BDDC0AD20B99C532",1)</v>
      </c>
      <c r="E409" s="22">
        <v>0.98</v>
      </c>
      <c r="F409" s="7" t="s">
        <v>23</v>
      </c>
      <c r="G409" s="7">
        <v>1</v>
      </c>
      <c r="H409" s="11" t="s">
        <v>13</v>
      </c>
      <c r="I409" s="11" t="s">
        <v>591</v>
      </c>
      <c r="J409" s="11" t="s">
        <v>196</v>
      </c>
    </row>
    <row r="410" hidden="1" customHeight="1" spans="1:10">
      <c r="A410" s="2">
        <v>548</v>
      </c>
      <c r="B410" s="7" t="s">
        <v>780</v>
      </c>
      <c r="C410" s="7" t="s">
        <v>781</v>
      </c>
      <c r="D410" s="7" t="str">
        <f>_xlfn.DISPIMG("ID_B3089AF27C2F46A4936C1E6FFBE505D5",1)</f>
        <v>=DISPIMG("ID_B3089AF27C2F46A4936C1E6FFBE505D5",1)</v>
      </c>
      <c r="E410" s="22">
        <v>0.97</v>
      </c>
      <c r="F410" s="7" t="s">
        <v>27</v>
      </c>
      <c r="G410" s="7">
        <v>1</v>
      </c>
      <c r="H410" s="11" t="s">
        <v>13</v>
      </c>
      <c r="I410" s="11" t="s">
        <v>591</v>
      </c>
      <c r="J410" s="11" t="s">
        <v>196</v>
      </c>
    </row>
    <row r="411" hidden="1" customHeight="1" spans="1:10">
      <c r="A411" s="2">
        <v>549</v>
      </c>
      <c r="B411" s="7" t="s">
        <v>782</v>
      </c>
      <c r="C411" s="7" t="s">
        <v>783</v>
      </c>
      <c r="D411" s="7" t="str">
        <f>_xlfn.DISPIMG("ID_99318BBF9A16439B8B4E2684B7D331BC",1)</f>
        <v>=DISPIMG("ID_99318BBF9A16439B8B4E2684B7D331BC",1)</v>
      </c>
      <c r="E411" s="22">
        <v>0.86</v>
      </c>
      <c r="F411" s="7" t="s">
        <v>23</v>
      </c>
      <c r="G411" s="7">
        <v>1</v>
      </c>
      <c r="H411" s="11" t="s">
        <v>13</v>
      </c>
      <c r="I411" s="11" t="s">
        <v>591</v>
      </c>
      <c r="J411" s="11" t="s">
        <v>196</v>
      </c>
    </row>
    <row r="412" hidden="1" customHeight="1" spans="1:10">
      <c r="A412" s="2">
        <v>550</v>
      </c>
      <c r="B412" s="7" t="s">
        <v>784</v>
      </c>
      <c r="C412" s="7" t="s">
        <v>785</v>
      </c>
      <c r="D412" s="7" t="str">
        <f>_xlfn.DISPIMG("ID_47C16A48396343EFB67AD38FBD7B8985",1)</f>
        <v>=DISPIMG("ID_47C16A48396343EFB67AD38FBD7B8985",1)</v>
      </c>
      <c r="E412" s="22">
        <v>0.98</v>
      </c>
      <c r="F412" s="7" t="s">
        <v>161</v>
      </c>
      <c r="G412" s="7">
        <v>1</v>
      </c>
      <c r="H412" s="11" t="s">
        <v>13</v>
      </c>
      <c r="I412" s="11" t="s">
        <v>591</v>
      </c>
      <c r="J412" s="11" t="s">
        <v>196</v>
      </c>
    </row>
    <row r="413" hidden="1" customHeight="1" spans="1:10">
      <c r="A413" s="2">
        <v>563</v>
      </c>
      <c r="B413" s="5" t="s">
        <v>786</v>
      </c>
      <c r="C413" s="26" t="s">
        <v>787</v>
      </c>
      <c r="D413" s="5" t="s">
        <v>788</v>
      </c>
      <c r="E413" s="22">
        <v>0.99</v>
      </c>
      <c r="F413" s="5" t="s">
        <v>94</v>
      </c>
      <c r="G413" s="26">
        <v>1</v>
      </c>
      <c r="H413" s="11" t="s">
        <v>13</v>
      </c>
      <c r="I413" s="11" t="s">
        <v>591</v>
      </c>
      <c r="J413" s="11" t="s">
        <v>196</v>
      </c>
    </row>
    <row r="414" hidden="1" customHeight="1" spans="1:10">
      <c r="A414" s="2">
        <v>564</v>
      </c>
      <c r="B414" s="5" t="s">
        <v>789</v>
      </c>
      <c r="C414" s="5" t="s">
        <v>790</v>
      </c>
      <c r="D414" s="46" t="s">
        <v>791</v>
      </c>
      <c r="E414" s="22">
        <v>0.99</v>
      </c>
      <c r="F414" s="5" t="s">
        <v>45</v>
      </c>
      <c r="G414" s="26">
        <v>1</v>
      </c>
      <c r="H414" s="11" t="s">
        <v>13</v>
      </c>
      <c r="I414" s="11" t="s">
        <v>591</v>
      </c>
      <c r="J414" s="11" t="s">
        <v>196</v>
      </c>
    </row>
    <row r="415" hidden="1" customHeight="1" spans="1:10">
      <c r="A415" s="2">
        <v>566</v>
      </c>
      <c r="B415" s="5" t="s">
        <v>792</v>
      </c>
      <c r="C415" s="5" t="s">
        <v>793</v>
      </c>
      <c r="D415" s="26" t="str">
        <f>_xlfn.DISPIMG("ID_520C709D4E4F4889A535A7316C514960",1)</f>
        <v>=DISPIMG("ID_520C709D4E4F4889A535A7316C514960",1)</v>
      </c>
      <c r="E415" s="22">
        <v>0.98</v>
      </c>
      <c r="F415" s="5" t="s">
        <v>45</v>
      </c>
      <c r="G415" s="26">
        <v>1</v>
      </c>
      <c r="H415" s="5" t="s">
        <v>13</v>
      </c>
      <c r="I415" s="11" t="s">
        <v>591</v>
      </c>
      <c r="J415" s="11" t="s">
        <v>196</v>
      </c>
    </row>
    <row r="416" hidden="1" customHeight="1" spans="1:10">
      <c r="A416" s="2">
        <v>572</v>
      </c>
      <c r="B416" s="11" t="s">
        <v>794</v>
      </c>
      <c r="C416" s="15" t="s">
        <v>795</v>
      </c>
      <c r="D416" s="7" t="str">
        <f>_xlfn.DISPIMG("ID_87A7856F5C9E414882ACF41EAA0490DE",1)</f>
        <v>=DISPIMG("ID_87A7856F5C9E414882ACF41EAA0490DE",1)</v>
      </c>
      <c r="E416" s="22">
        <v>0.98</v>
      </c>
      <c r="F416" s="7"/>
      <c r="G416" s="7">
        <v>1</v>
      </c>
      <c r="H416" s="11" t="s">
        <v>13</v>
      </c>
      <c r="I416" s="11" t="s">
        <v>591</v>
      </c>
      <c r="J416" s="11" t="s">
        <v>213</v>
      </c>
    </row>
    <row r="417" hidden="1" customHeight="1" spans="1:10">
      <c r="A417" s="2">
        <v>574</v>
      </c>
      <c r="B417" s="11" t="s">
        <v>796</v>
      </c>
      <c r="C417" s="15" t="s">
        <v>797</v>
      </c>
      <c r="D417" s="7" t="str">
        <f>_xlfn.DISPIMG("ID_3D97F5B04F194992BAF3BB622E5D8905",1)</f>
        <v>=DISPIMG("ID_3D97F5B04F194992BAF3BB622E5D8905",1)</v>
      </c>
      <c r="E417" s="22"/>
      <c r="F417" s="7"/>
      <c r="G417" s="7"/>
      <c r="H417" s="11" t="s">
        <v>13</v>
      </c>
      <c r="I417" s="11" t="s">
        <v>591</v>
      </c>
      <c r="J417" s="11" t="s">
        <v>213</v>
      </c>
    </row>
    <row r="418" hidden="1" customHeight="1" spans="1:10">
      <c r="A418" s="2">
        <v>575</v>
      </c>
      <c r="B418" s="11" t="s">
        <v>798</v>
      </c>
      <c r="C418" s="15" t="s">
        <v>799</v>
      </c>
      <c r="D418" s="7" t="str">
        <f>_xlfn.DISPIMG("ID_57BD713B15D84D2189521FCCD96B8878",1)</f>
        <v>=DISPIMG("ID_57BD713B15D84D2189521FCCD96B8878",1)</v>
      </c>
      <c r="E418" s="22">
        <v>0.98</v>
      </c>
      <c r="F418" s="7"/>
      <c r="G418" s="7"/>
      <c r="H418" s="11" t="s">
        <v>13</v>
      </c>
      <c r="I418" s="11" t="s">
        <v>591</v>
      </c>
      <c r="J418" s="11" t="s">
        <v>213</v>
      </c>
    </row>
    <row r="419" hidden="1" customHeight="1" spans="1:10">
      <c r="A419" s="2">
        <v>576</v>
      </c>
      <c r="B419" s="11" t="s">
        <v>800</v>
      </c>
      <c r="C419" s="15" t="s">
        <v>801</v>
      </c>
      <c r="D419" s="7" t="str">
        <f>_xlfn.DISPIMG("ID_84EEA0B5A986414E935CFA01C8C1179D",1)</f>
        <v>=DISPIMG("ID_84EEA0B5A986414E935CFA01C8C1179D",1)</v>
      </c>
      <c r="E419" s="22">
        <v>0.98</v>
      </c>
      <c r="F419" s="7"/>
      <c r="G419" s="7"/>
      <c r="H419" s="11" t="s">
        <v>13</v>
      </c>
      <c r="I419" s="11" t="s">
        <v>591</v>
      </c>
      <c r="J419" s="11" t="s">
        <v>213</v>
      </c>
    </row>
    <row r="420" hidden="1" customHeight="1" spans="1:10">
      <c r="A420" s="2">
        <v>577</v>
      </c>
      <c r="B420" s="11" t="s">
        <v>802</v>
      </c>
      <c r="C420" s="15" t="s">
        <v>803</v>
      </c>
      <c r="D420" s="7" t="str">
        <f>_xlfn.DISPIMG("ID_285980C74B484B649ABF9578B5716018",1)</f>
        <v>=DISPIMG("ID_285980C74B484B649ABF9578B5716018",1)</v>
      </c>
      <c r="E420" s="26"/>
      <c r="F420" s="28" t="s">
        <v>175</v>
      </c>
      <c r="G420" s="7"/>
      <c r="H420" s="11" t="s">
        <v>13</v>
      </c>
      <c r="I420" s="11" t="s">
        <v>591</v>
      </c>
      <c r="J420" s="11" t="s">
        <v>213</v>
      </c>
    </row>
    <row r="421" hidden="1" customHeight="1" spans="1:10">
      <c r="A421" s="2">
        <v>579</v>
      </c>
      <c r="B421" s="5" t="s">
        <v>804</v>
      </c>
      <c r="C421" s="46" t="s">
        <v>805</v>
      </c>
      <c r="D421" s="26" t="str">
        <f>_xlfn.DISPIMG("ID_80F5D71C4E4048E3AD05902146EECBBC",1)</f>
        <v>=DISPIMG("ID_80F5D71C4E4048E3AD05902146EECBBC",1)</v>
      </c>
      <c r="E421" s="23">
        <v>0.998</v>
      </c>
      <c r="F421" s="5" t="s">
        <v>806</v>
      </c>
      <c r="G421" s="26">
        <v>2</v>
      </c>
      <c r="H421" s="11" t="s">
        <v>13</v>
      </c>
      <c r="I421" s="11" t="s">
        <v>591</v>
      </c>
      <c r="J421" s="5" t="s">
        <v>213</v>
      </c>
    </row>
    <row r="422" hidden="1" customHeight="1" spans="1:10">
      <c r="A422" s="2">
        <v>580</v>
      </c>
      <c r="B422" s="47" t="s">
        <v>807</v>
      </c>
      <c r="C422" s="5" t="s">
        <v>808</v>
      </c>
      <c r="D422" s="26" t="str">
        <f>_xlfn.DISPIMG("ID_55237EA7755144A79BA0CE0B0D0DFA79",1)</f>
        <v>=DISPIMG("ID_55237EA7755144A79BA0CE0B0D0DFA79",1)</v>
      </c>
      <c r="E422" s="22">
        <v>0.98</v>
      </c>
      <c r="F422" s="5" t="s">
        <v>45</v>
      </c>
      <c r="G422" s="26">
        <v>1</v>
      </c>
      <c r="H422" s="11" t="s">
        <v>13</v>
      </c>
      <c r="I422" s="11" t="s">
        <v>591</v>
      </c>
      <c r="J422" s="5" t="s">
        <v>213</v>
      </c>
    </row>
    <row r="423" hidden="1" customHeight="1" spans="1:10">
      <c r="A423" s="2">
        <v>581</v>
      </c>
      <c r="B423" s="5" t="s">
        <v>809</v>
      </c>
      <c r="C423" s="5" t="s">
        <v>810</v>
      </c>
      <c r="D423" s="26" t="str">
        <f>_xlfn.DISPIMG("ID_9988C6BC3CD342F7BA16B25EC1A22491",1)</f>
        <v>=DISPIMG("ID_9988C6BC3CD342F7BA16B25EC1A22491",1)</v>
      </c>
      <c r="E423" s="5" t="s">
        <v>811</v>
      </c>
      <c r="F423" s="5" t="s">
        <v>50</v>
      </c>
      <c r="G423" s="26">
        <v>1</v>
      </c>
      <c r="H423" s="11" t="s">
        <v>13</v>
      </c>
      <c r="I423" s="11" t="s">
        <v>591</v>
      </c>
      <c r="J423" s="5" t="s">
        <v>213</v>
      </c>
    </row>
    <row r="424" hidden="1" customHeight="1" spans="1:10">
      <c r="A424" s="2">
        <v>586</v>
      </c>
      <c r="B424" s="7" t="s">
        <v>812</v>
      </c>
      <c r="C424" s="7" t="s">
        <v>813</v>
      </c>
      <c r="D424" s="7" t="str">
        <f>_xlfn.DISPIMG("ID_0228C32636BB46D7B699B8293903BE69",1)</f>
        <v>=DISPIMG("ID_0228C32636BB46D7B699B8293903BE69",1)</v>
      </c>
      <c r="E424" s="22">
        <v>0.99</v>
      </c>
      <c r="F424" s="7" t="s">
        <v>175</v>
      </c>
      <c r="G424" s="7">
        <v>1</v>
      </c>
      <c r="H424" s="11" t="s">
        <v>13</v>
      </c>
      <c r="I424" s="11" t="s">
        <v>591</v>
      </c>
      <c r="J424" s="11" t="s">
        <v>221</v>
      </c>
    </row>
    <row r="425" hidden="1" customHeight="1" spans="1:10">
      <c r="A425" s="2">
        <v>587</v>
      </c>
      <c r="B425" s="7" t="s">
        <v>814</v>
      </c>
      <c r="C425" s="7" t="s">
        <v>815</v>
      </c>
      <c r="D425" s="7" t="str">
        <f>_xlfn.DISPIMG("ID_239AC3B41F8F4C11A6FD40E84F0375BC",1)</f>
        <v>=DISPIMG("ID_239AC3B41F8F4C11A6FD40E84F0375BC",1)</v>
      </c>
      <c r="E425" s="22">
        <v>0.98</v>
      </c>
      <c r="F425" s="7" t="s">
        <v>45</v>
      </c>
      <c r="G425" s="7">
        <v>1</v>
      </c>
      <c r="H425" s="11" t="s">
        <v>13</v>
      </c>
      <c r="I425" s="11" t="s">
        <v>591</v>
      </c>
      <c r="J425" s="11" t="s">
        <v>816</v>
      </c>
    </row>
    <row r="426" hidden="1" customHeight="1" spans="1:10">
      <c r="A426" s="2">
        <v>588</v>
      </c>
      <c r="B426" s="7" t="s">
        <v>817</v>
      </c>
      <c r="C426" s="7" t="s">
        <v>818</v>
      </c>
      <c r="D426" s="7" t="str">
        <f>_xlfn.DISPIMG("ID_453EDBD712B542189FC3210E23A3E0EC",1)</f>
        <v>=DISPIMG("ID_453EDBD712B542189FC3210E23A3E0EC",1)</v>
      </c>
      <c r="E426" s="22">
        <v>0.99</v>
      </c>
      <c r="F426" s="7" t="s">
        <v>50</v>
      </c>
      <c r="G426" s="7">
        <v>1</v>
      </c>
      <c r="H426" s="11" t="s">
        <v>13</v>
      </c>
      <c r="I426" s="11" t="s">
        <v>591</v>
      </c>
      <c r="J426" s="11" t="s">
        <v>221</v>
      </c>
    </row>
    <row r="427" hidden="1" customHeight="1" spans="1:10">
      <c r="A427" s="2">
        <v>589</v>
      </c>
      <c r="B427" s="7" t="s">
        <v>819</v>
      </c>
      <c r="C427" s="7" t="s">
        <v>820</v>
      </c>
      <c r="D427" s="7" t="str">
        <f>_xlfn.DISPIMG("ID_C1A866F37BCC4CF2A5FB6655C89ADB21",1)</f>
        <v>=DISPIMG("ID_C1A866F37BCC4CF2A5FB6655C89ADB21",1)</v>
      </c>
      <c r="E427" s="22">
        <v>0.99</v>
      </c>
      <c r="F427" s="7" t="s">
        <v>45</v>
      </c>
      <c r="G427" s="7">
        <v>1</v>
      </c>
      <c r="H427" s="11" t="s">
        <v>13</v>
      </c>
      <c r="I427" s="11" t="s">
        <v>591</v>
      </c>
      <c r="J427" s="11" t="s">
        <v>221</v>
      </c>
    </row>
    <row r="428" s="2" customFormat="1" hidden="1" customHeight="1" spans="1:10">
      <c r="A428" s="2">
        <v>600</v>
      </c>
      <c r="B428" s="5" t="s">
        <v>821</v>
      </c>
      <c r="C428" s="5" t="s">
        <v>822</v>
      </c>
      <c r="D428" s="26" t="str">
        <f>_xlfn.DISPIMG("ID_C12F59D03A324D8DAA9519D8E6ECF0F0",1)</f>
        <v>=DISPIMG("ID_C12F59D03A324D8DAA9519D8E6ECF0F0",1)</v>
      </c>
      <c r="E428" s="26"/>
      <c r="F428" s="5" t="s">
        <v>823</v>
      </c>
      <c r="G428" s="26">
        <v>1</v>
      </c>
      <c r="H428" s="5" t="s">
        <v>13</v>
      </c>
      <c r="I428" s="11" t="s">
        <v>591</v>
      </c>
      <c r="J428" s="5" t="s">
        <v>221</v>
      </c>
    </row>
    <row r="429" hidden="1" customHeight="1" spans="1:10">
      <c r="A429" s="2">
        <v>601</v>
      </c>
      <c r="B429" s="5" t="s">
        <v>821</v>
      </c>
      <c r="C429" s="5" t="s">
        <v>822</v>
      </c>
      <c r="D429" s="26" t="str">
        <f>_xlfn.DISPIMG("ID_C12F59D03A324D8DAA9519D8E6ECF0F0",1)</f>
        <v>=DISPIMG("ID_C12F59D03A324D8DAA9519D8E6ECF0F0",1)</v>
      </c>
      <c r="E429" s="26"/>
      <c r="F429" s="5" t="s">
        <v>824</v>
      </c>
      <c r="G429" s="26">
        <v>1</v>
      </c>
      <c r="H429" s="26" t="s">
        <v>770</v>
      </c>
      <c r="I429" s="11" t="s">
        <v>591</v>
      </c>
      <c r="J429" s="26" t="s">
        <v>825</v>
      </c>
    </row>
    <row r="430" hidden="1" customHeight="1" spans="1:10">
      <c r="A430" s="2">
        <v>603</v>
      </c>
      <c r="B430" s="11" t="s">
        <v>826</v>
      </c>
      <c r="C430" s="11" t="s">
        <v>827</v>
      </c>
      <c r="D430" s="7" t="str">
        <f>_xlfn.DISPIMG("ID_BA3EF43C209440E893E40DD7407CB7C0",1)</f>
        <v>=DISPIMG("ID_BA3EF43C209440E893E40DD7407CB7C0",1)</v>
      </c>
      <c r="E430" s="22">
        <v>0.97</v>
      </c>
      <c r="F430" s="11" t="s">
        <v>45</v>
      </c>
      <c r="G430" s="7">
        <v>1</v>
      </c>
      <c r="H430" s="11" t="s">
        <v>13</v>
      </c>
      <c r="I430" s="11" t="s">
        <v>591</v>
      </c>
      <c r="J430" s="11" t="s">
        <v>221</v>
      </c>
    </row>
    <row r="431" hidden="1" customHeight="1" spans="1:10">
      <c r="A431" s="2">
        <v>604</v>
      </c>
      <c r="B431" s="11" t="s">
        <v>828</v>
      </c>
      <c r="C431" s="11" t="s">
        <v>829</v>
      </c>
      <c r="D431" s="7" t="str">
        <f>_xlfn.DISPIMG("ID_7B5158A17789498A8D834031C3E33640",1)</f>
        <v>=DISPIMG("ID_7B5158A17789498A8D834031C3E33640",1)</v>
      </c>
      <c r="E431" s="22">
        <v>0.98</v>
      </c>
      <c r="F431" s="11" t="s">
        <v>823</v>
      </c>
      <c r="G431" s="7">
        <v>1</v>
      </c>
      <c r="H431" s="11" t="s">
        <v>13</v>
      </c>
      <c r="I431" s="11" t="s">
        <v>591</v>
      </c>
      <c r="J431" s="11" t="s">
        <v>221</v>
      </c>
    </row>
    <row r="432" hidden="1" customHeight="1" spans="1:10">
      <c r="A432" s="2">
        <v>606</v>
      </c>
      <c r="B432" s="11" t="s">
        <v>830</v>
      </c>
      <c r="C432" s="11" t="s">
        <v>831</v>
      </c>
      <c r="D432" s="7" t="str">
        <f>_xlfn.DISPIMG("ID_E2C8DB4E26F14716809D057B1A4C5313",1)</f>
        <v>=DISPIMG("ID_E2C8DB4E26F14716809D057B1A4C5313",1)</v>
      </c>
      <c r="E432" s="22">
        <v>0.95</v>
      </c>
      <c r="F432" s="11" t="s">
        <v>27</v>
      </c>
      <c r="G432" s="7">
        <v>1</v>
      </c>
      <c r="H432" s="11" t="s">
        <v>13</v>
      </c>
      <c r="I432" s="11" t="s">
        <v>591</v>
      </c>
      <c r="J432" s="11" t="s">
        <v>221</v>
      </c>
    </row>
    <row r="433" hidden="1" customHeight="1" spans="1:10">
      <c r="A433" s="2">
        <v>607</v>
      </c>
      <c r="B433" s="11" t="s">
        <v>832</v>
      </c>
      <c r="C433" s="11" t="s">
        <v>833</v>
      </c>
      <c r="D433" s="7" t="s">
        <v>834</v>
      </c>
      <c r="E433" s="22">
        <v>0.99</v>
      </c>
      <c r="F433" s="11" t="s">
        <v>50</v>
      </c>
      <c r="G433" s="7">
        <v>1</v>
      </c>
      <c r="H433" s="11" t="s">
        <v>13</v>
      </c>
      <c r="I433" s="11" t="s">
        <v>591</v>
      </c>
      <c r="J433" s="11" t="s">
        <v>221</v>
      </c>
    </row>
    <row r="434" hidden="1" customHeight="1" spans="1:10">
      <c r="A434" s="2">
        <v>610</v>
      </c>
      <c r="B434" s="11" t="s">
        <v>835</v>
      </c>
      <c r="C434" s="11" t="s">
        <v>836</v>
      </c>
      <c r="D434" s="11" t="s">
        <v>837</v>
      </c>
      <c r="E434" s="22">
        <v>0.985</v>
      </c>
      <c r="F434" s="11" t="s">
        <v>40</v>
      </c>
      <c r="G434" s="7">
        <v>1</v>
      </c>
      <c r="H434" s="11" t="s">
        <v>13</v>
      </c>
      <c r="I434" s="11" t="s">
        <v>591</v>
      </c>
      <c r="J434" s="11" t="s">
        <v>221</v>
      </c>
    </row>
    <row r="435" hidden="1" customHeight="1" spans="1:10">
      <c r="A435" s="2">
        <v>611</v>
      </c>
      <c r="B435" s="11" t="s">
        <v>838</v>
      </c>
      <c r="C435" s="11" t="s">
        <v>839</v>
      </c>
      <c r="D435" s="7" t="str">
        <f>_xlfn.DISPIMG("ID_63E466FBB8BD44B083B60400B5B8072A",1)</f>
        <v>=DISPIMG("ID_63E466FBB8BD44B083B60400B5B8072A",1)</v>
      </c>
      <c r="E435" s="22">
        <v>0.98</v>
      </c>
      <c r="F435" s="11" t="s">
        <v>27</v>
      </c>
      <c r="G435" s="7">
        <v>1</v>
      </c>
      <c r="H435" s="11" t="s">
        <v>13</v>
      </c>
      <c r="I435" s="11" t="s">
        <v>591</v>
      </c>
      <c r="J435" s="11" t="s">
        <v>221</v>
      </c>
    </row>
    <row r="436" hidden="1" customHeight="1" spans="1:10">
      <c r="A436" s="2">
        <v>620</v>
      </c>
      <c r="B436" s="7" t="s">
        <v>840</v>
      </c>
      <c r="C436" s="7" t="s">
        <v>841</v>
      </c>
      <c r="D436" s="7" t="str">
        <f>_xlfn.DISPIMG("ID_59A88A3DE2D44E529D87E0FDBB3F15F6",1)</f>
        <v>=DISPIMG("ID_59A88A3DE2D44E529D87E0FDBB3F15F6",1)</v>
      </c>
      <c r="E436" s="22">
        <v>0.99</v>
      </c>
      <c r="F436" s="7" t="s">
        <v>45</v>
      </c>
      <c r="G436" s="7">
        <v>1</v>
      </c>
      <c r="H436" s="11" t="s">
        <v>13</v>
      </c>
      <c r="I436" s="11" t="s">
        <v>591</v>
      </c>
      <c r="J436" s="11" t="s">
        <v>222</v>
      </c>
    </row>
    <row r="437" hidden="1" customHeight="1" spans="1:10">
      <c r="A437" s="2">
        <v>621</v>
      </c>
      <c r="B437" s="11" t="s">
        <v>842</v>
      </c>
      <c r="C437" s="11" t="s">
        <v>843</v>
      </c>
      <c r="D437" s="7" t="str">
        <f>_xlfn.DISPIMG("ID_75AF365889864EFE9D23874FC42D5A57",1)</f>
        <v>=DISPIMG("ID_75AF365889864EFE9D23874FC42D5A57",1)</v>
      </c>
      <c r="E437" s="22">
        <v>0.5</v>
      </c>
      <c r="F437" s="11" t="s">
        <v>45</v>
      </c>
      <c r="G437" s="7">
        <v>1</v>
      </c>
      <c r="H437" s="11" t="s">
        <v>13</v>
      </c>
      <c r="I437" s="11" t="s">
        <v>591</v>
      </c>
      <c r="J437" s="11" t="s">
        <v>221</v>
      </c>
    </row>
    <row r="438" hidden="1" customHeight="1" spans="1:10">
      <c r="A438" s="2">
        <v>622</v>
      </c>
      <c r="B438" s="7" t="s">
        <v>844</v>
      </c>
      <c r="C438" s="11" t="s">
        <v>845</v>
      </c>
      <c r="D438" s="7" t="str">
        <f>_xlfn.DISPIMG("ID_3659B7DAF09A4AC3A827381F27AA47F9",1)</f>
        <v>=DISPIMG("ID_3659B7DAF09A4AC3A827381F27AA47F9",1)</v>
      </c>
      <c r="E438" s="22">
        <v>0.98</v>
      </c>
      <c r="F438" s="7" t="s">
        <v>27</v>
      </c>
      <c r="G438" s="7">
        <v>1</v>
      </c>
      <c r="H438" s="11" t="s">
        <v>13</v>
      </c>
      <c r="I438" s="11" t="s">
        <v>591</v>
      </c>
      <c r="J438" s="11" t="s">
        <v>222</v>
      </c>
    </row>
    <row r="439" hidden="1" customHeight="1" spans="1:10">
      <c r="A439" s="2">
        <v>623</v>
      </c>
      <c r="B439" s="7" t="s">
        <v>846</v>
      </c>
      <c r="C439" s="7" t="s">
        <v>847</v>
      </c>
      <c r="D439" s="7" t="str">
        <f>_xlfn.DISPIMG("ID_88D08C3643C241878C78BF9D1B0E1BB7",1)</f>
        <v>=DISPIMG("ID_88D08C3643C241878C78BF9D1B0E1BB7",1)</v>
      </c>
      <c r="E439" s="22">
        <v>0.99</v>
      </c>
      <c r="F439" s="7" t="s">
        <v>124</v>
      </c>
      <c r="G439" s="7">
        <v>1</v>
      </c>
      <c r="H439" s="11" t="s">
        <v>13</v>
      </c>
      <c r="I439" s="11" t="s">
        <v>591</v>
      </c>
      <c r="J439" s="11" t="s">
        <v>222</v>
      </c>
    </row>
    <row r="440" hidden="1" customHeight="1" spans="1:10">
      <c r="A440" s="2">
        <v>624</v>
      </c>
      <c r="B440" s="7" t="s">
        <v>848</v>
      </c>
      <c r="C440" s="7" t="s">
        <v>849</v>
      </c>
      <c r="D440" s="7" t="str">
        <f>_xlfn.DISPIMG("ID_8DD470DE0A75414EA8F44EA59EFE5B2E",1)</f>
        <v>=DISPIMG("ID_8DD470DE0A75414EA8F44EA59EFE5B2E",1)</v>
      </c>
      <c r="E440" s="22">
        <v>0.96</v>
      </c>
      <c r="F440" s="7" t="s">
        <v>124</v>
      </c>
      <c r="G440" s="7">
        <v>1</v>
      </c>
      <c r="H440" s="11" t="s">
        <v>13</v>
      </c>
      <c r="I440" s="11" t="s">
        <v>591</v>
      </c>
      <c r="J440" s="11" t="s">
        <v>222</v>
      </c>
    </row>
    <row r="441" hidden="1" customHeight="1" spans="1:10">
      <c r="A441" s="2">
        <v>629</v>
      </c>
      <c r="B441" s="5" t="s">
        <v>850</v>
      </c>
      <c r="C441" s="48" t="s">
        <v>805</v>
      </c>
      <c r="D441" s="26" t="str">
        <f>_xlfn.DISPIMG("ID_7713A9F7079B48BB8431270354DBD862",1)</f>
        <v>=DISPIMG("ID_7713A9F7079B48BB8431270354DBD862",1)</v>
      </c>
      <c r="E441" s="23">
        <v>0.998</v>
      </c>
      <c r="F441" s="5" t="s">
        <v>851</v>
      </c>
      <c r="G441" s="26">
        <v>1</v>
      </c>
      <c r="H441" s="5" t="s">
        <v>13</v>
      </c>
      <c r="I441" s="11" t="s">
        <v>591</v>
      </c>
      <c r="J441" s="5" t="s">
        <v>222</v>
      </c>
    </row>
    <row r="442" hidden="1" customHeight="1" spans="1:10">
      <c r="A442" s="2">
        <v>630</v>
      </c>
      <c r="B442" s="5" t="s">
        <v>852</v>
      </c>
      <c r="C442" s="46" t="s">
        <v>853</v>
      </c>
      <c r="D442" s="26" t="str">
        <f>_xlfn.DISPIMG("ID_E011EC943CF8490B882A2F8A3AB4C4E0",1)</f>
        <v>=DISPIMG("ID_E011EC943CF8490B882A2F8A3AB4C4E0",1)</v>
      </c>
      <c r="E442" s="23">
        <v>0.998</v>
      </c>
      <c r="F442" s="5" t="s">
        <v>854</v>
      </c>
      <c r="G442" s="26">
        <v>2</v>
      </c>
      <c r="H442" s="5" t="s">
        <v>13</v>
      </c>
      <c r="I442" s="11" t="s">
        <v>591</v>
      </c>
      <c r="J442" s="5" t="s">
        <v>222</v>
      </c>
    </row>
    <row r="443" hidden="1" customHeight="1" spans="1:10">
      <c r="A443" s="2">
        <v>632</v>
      </c>
      <c r="B443" s="5" t="s">
        <v>855</v>
      </c>
      <c r="C443" s="5" t="s">
        <v>856</v>
      </c>
      <c r="D443" s="26" t="str">
        <f>_xlfn.DISPIMG("ID_E182AF5DBC3E44A09C763FF3F6A0D0D4",1)</f>
        <v>=DISPIMG("ID_E182AF5DBC3E44A09C763FF3F6A0D0D4",1)</v>
      </c>
      <c r="E443" s="22">
        <v>0.99</v>
      </c>
      <c r="F443" s="5" t="s">
        <v>50</v>
      </c>
      <c r="G443" s="26">
        <v>1</v>
      </c>
      <c r="H443" s="5" t="s">
        <v>13</v>
      </c>
      <c r="I443" s="11" t="s">
        <v>591</v>
      </c>
      <c r="J443" s="5" t="s">
        <v>222</v>
      </c>
    </row>
    <row r="444" hidden="1" customHeight="1" spans="1:10">
      <c r="A444" s="2">
        <v>633</v>
      </c>
      <c r="B444" s="5" t="s">
        <v>857</v>
      </c>
      <c r="C444" s="5" t="s">
        <v>858</v>
      </c>
      <c r="D444" s="26" t="str">
        <f>_xlfn.DISPIMG("ID_11CE00CC58C546FFA5DF1156AE0B29EB",1)</f>
        <v>=DISPIMG("ID_11CE00CC58C546FFA5DF1156AE0B29EB",1)</v>
      </c>
      <c r="E444" s="22">
        <v>0.97</v>
      </c>
      <c r="F444" s="5" t="s">
        <v>161</v>
      </c>
      <c r="G444" s="26">
        <v>1</v>
      </c>
      <c r="H444" s="5" t="s">
        <v>13</v>
      </c>
      <c r="I444" s="11" t="s">
        <v>591</v>
      </c>
      <c r="J444" s="5" t="s">
        <v>222</v>
      </c>
    </row>
    <row r="445" hidden="1" customHeight="1" spans="1:10">
      <c r="A445" s="2">
        <v>634</v>
      </c>
      <c r="B445" s="5" t="s">
        <v>857</v>
      </c>
      <c r="C445" s="5" t="s">
        <v>858</v>
      </c>
      <c r="D445" s="49" t="str">
        <f>_xlfn.DISPIMG("ID_11CE00CC58C546FFA5DF1156AE0B29EB",1)</f>
        <v>=DISPIMG("ID_11CE00CC58C546FFA5DF1156AE0B29EB",1)</v>
      </c>
      <c r="E445" s="22">
        <v>0.97</v>
      </c>
      <c r="F445" s="5" t="s">
        <v>45</v>
      </c>
      <c r="G445" s="26">
        <v>1</v>
      </c>
      <c r="H445" s="5" t="s">
        <v>13</v>
      </c>
      <c r="I445" s="11" t="s">
        <v>591</v>
      </c>
      <c r="J445" s="5" t="s">
        <v>222</v>
      </c>
    </row>
    <row r="446" hidden="1" customHeight="1" spans="1:10">
      <c r="A446" s="2">
        <v>648</v>
      </c>
      <c r="B446" s="7" t="s">
        <v>784</v>
      </c>
      <c r="C446" s="7" t="s">
        <v>785</v>
      </c>
      <c r="D446" s="7" t="str">
        <f>_xlfn.DISPIMG("ID_530F6E4962174D88B2BCE370BB66F985",1)</f>
        <v>=DISPIMG("ID_530F6E4962174D88B2BCE370BB66F985",1)</v>
      </c>
      <c r="E446" s="22">
        <v>0.98</v>
      </c>
      <c r="F446" s="7" t="s">
        <v>23</v>
      </c>
      <c r="G446" s="7">
        <v>1</v>
      </c>
      <c r="H446" s="11" t="s">
        <v>13</v>
      </c>
      <c r="I446" s="11" t="s">
        <v>591</v>
      </c>
      <c r="J446" s="11" t="s">
        <v>225</v>
      </c>
    </row>
    <row r="447" hidden="1" customHeight="1" spans="1:10">
      <c r="A447" s="2">
        <v>649</v>
      </c>
      <c r="B447" s="7" t="s">
        <v>784</v>
      </c>
      <c r="C447" s="7" t="s">
        <v>785</v>
      </c>
      <c r="D447" s="7" t="str">
        <f>_xlfn.DISPIMG("ID_18BF312309EA47809110FF96379439D4",1)</f>
        <v>=DISPIMG("ID_18BF312309EA47809110FF96379439D4",1)</v>
      </c>
      <c r="E447" s="22">
        <v>0.97</v>
      </c>
      <c r="F447" s="7" t="s">
        <v>23</v>
      </c>
      <c r="G447" s="7">
        <v>1</v>
      </c>
      <c r="H447" s="11" t="s">
        <v>13</v>
      </c>
      <c r="I447" s="11" t="s">
        <v>591</v>
      </c>
      <c r="J447" s="11" t="s">
        <v>225</v>
      </c>
    </row>
    <row r="448" hidden="1" customHeight="1" spans="1:10">
      <c r="A448" s="2">
        <v>660</v>
      </c>
      <c r="B448" s="5" t="s">
        <v>821</v>
      </c>
      <c r="C448" s="5" t="s">
        <v>822</v>
      </c>
      <c r="D448" s="26" t="str">
        <f>_xlfn.DISPIMG("ID_C12F59D03A324D8DAA9519D8E6ECF0F0",1)</f>
        <v>=DISPIMG("ID_C12F59D03A324D8DAA9519D8E6ECF0F0",1)</v>
      </c>
      <c r="E448" s="26"/>
      <c r="F448" s="5" t="s">
        <v>823</v>
      </c>
      <c r="G448" s="26">
        <v>1</v>
      </c>
      <c r="H448" s="5" t="s">
        <v>13</v>
      </c>
      <c r="I448" s="11" t="s">
        <v>591</v>
      </c>
      <c r="J448" s="5" t="s">
        <v>221</v>
      </c>
    </row>
    <row r="449" hidden="1" customHeight="1" spans="1:10">
      <c r="A449" s="2">
        <v>661</v>
      </c>
      <c r="B449" s="5" t="s">
        <v>821</v>
      </c>
      <c r="C449" s="5" t="s">
        <v>822</v>
      </c>
      <c r="D449" s="26" t="str">
        <f>_xlfn.DISPIMG("ID_C12F59D03A324D8DAA9519D8E6ECF0F0",1)</f>
        <v>=DISPIMG("ID_C12F59D03A324D8DAA9519D8E6ECF0F0",1)</v>
      </c>
      <c r="E449" s="26"/>
      <c r="F449" s="5" t="s">
        <v>824</v>
      </c>
      <c r="G449" s="26">
        <v>1</v>
      </c>
      <c r="H449" s="26" t="s">
        <v>770</v>
      </c>
      <c r="I449" s="11" t="s">
        <v>591</v>
      </c>
      <c r="J449" s="26" t="s">
        <v>825</v>
      </c>
    </row>
    <row r="450" hidden="1" customHeight="1" spans="1:10">
      <c r="A450" s="2">
        <v>664</v>
      </c>
      <c r="B450" s="5" t="s">
        <v>859</v>
      </c>
      <c r="C450" s="5" t="s">
        <v>860</v>
      </c>
      <c r="D450" s="26" t="str">
        <f>_xlfn.DISPIMG("ID_4F27394080B740EBA1B313D5AEC03862",1)</f>
        <v>=DISPIMG("ID_4F27394080B740EBA1B313D5AEC03862",1)</v>
      </c>
      <c r="E450" s="26"/>
      <c r="F450" s="5" t="s">
        <v>27</v>
      </c>
      <c r="G450" s="26">
        <v>1</v>
      </c>
      <c r="H450" s="5" t="s">
        <v>13</v>
      </c>
      <c r="I450" s="11" t="s">
        <v>591</v>
      </c>
      <c r="J450" s="5" t="s">
        <v>225</v>
      </c>
    </row>
    <row r="451" hidden="1" customHeight="1" spans="1:10">
      <c r="A451" s="2">
        <v>674</v>
      </c>
      <c r="B451" s="29" t="s">
        <v>861</v>
      </c>
      <c r="C451" s="5" t="s">
        <v>827</v>
      </c>
      <c r="D451" s="26" t="str">
        <f>_xlfn.DISPIMG("ID_BA3EF43C209440E893E40DD7407CB7C0",1)</f>
        <v>=DISPIMG("ID_BA3EF43C209440E893E40DD7407CB7C0",1)</v>
      </c>
      <c r="E451" s="22">
        <v>0.97</v>
      </c>
      <c r="F451" s="5" t="s">
        <v>45</v>
      </c>
      <c r="G451" s="26">
        <v>1</v>
      </c>
      <c r="H451" s="5" t="s">
        <v>13</v>
      </c>
      <c r="I451" s="11" t="s">
        <v>591</v>
      </c>
      <c r="J451" s="5" t="s">
        <v>221</v>
      </c>
    </row>
    <row r="452" hidden="1" customHeight="1" spans="1:10">
      <c r="A452" s="2">
        <v>675</v>
      </c>
      <c r="B452" s="5" t="s">
        <v>828</v>
      </c>
      <c r="C452" s="5" t="s">
        <v>829</v>
      </c>
      <c r="D452" s="26" t="str">
        <f>_xlfn.DISPIMG("ID_7B5158A17789498A8D834031C3E33640",1)</f>
        <v>=DISPIMG("ID_7B5158A17789498A8D834031C3E33640",1)</v>
      </c>
      <c r="E452" s="22">
        <v>0.98</v>
      </c>
      <c r="F452" s="5" t="s">
        <v>823</v>
      </c>
      <c r="G452" s="26">
        <v>1</v>
      </c>
      <c r="H452" s="5" t="s">
        <v>13</v>
      </c>
      <c r="I452" s="11" t="s">
        <v>591</v>
      </c>
      <c r="J452" s="5" t="s">
        <v>221</v>
      </c>
    </row>
    <row r="453" hidden="1" customHeight="1" spans="1:10">
      <c r="A453" s="2">
        <v>676</v>
      </c>
      <c r="B453" s="5" t="s">
        <v>862</v>
      </c>
      <c r="C453" s="5" t="s">
        <v>863</v>
      </c>
      <c r="D453" s="48" t="s">
        <v>864</v>
      </c>
      <c r="E453" s="22">
        <v>0.7</v>
      </c>
      <c r="F453" s="26"/>
      <c r="G453" s="26">
        <v>1</v>
      </c>
      <c r="H453" s="5" t="s">
        <v>13</v>
      </c>
      <c r="I453" s="11" t="s">
        <v>591</v>
      </c>
      <c r="J453" s="5" t="s">
        <v>221</v>
      </c>
    </row>
    <row r="454" hidden="1" customHeight="1" spans="1:10">
      <c r="A454" s="2">
        <v>677</v>
      </c>
      <c r="B454" s="5" t="s">
        <v>830</v>
      </c>
      <c r="C454" s="5" t="s">
        <v>831</v>
      </c>
      <c r="D454" s="26" t="str">
        <f>_xlfn.DISPIMG("ID_E2C8DB4E26F14716809D057B1A4C5313",1)</f>
        <v>=DISPIMG("ID_E2C8DB4E26F14716809D057B1A4C5313",1)</v>
      </c>
      <c r="E454" s="22">
        <v>0.95</v>
      </c>
      <c r="F454" s="5" t="s">
        <v>27</v>
      </c>
      <c r="G454" s="26">
        <v>1</v>
      </c>
      <c r="H454" s="5" t="s">
        <v>13</v>
      </c>
      <c r="I454" s="11" t="s">
        <v>591</v>
      </c>
      <c r="J454" s="5" t="s">
        <v>221</v>
      </c>
    </row>
    <row r="455" hidden="1" customHeight="1" spans="1:10">
      <c r="A455" s="2">
        <v>678</v>
      </c>
      <c r="B455" s="5" t="s">
        <v>832</v>
      </c>
      <c r="C455" s="5" t="s">
        <v>833</v>
      </c>
      <c r="D455" s="46" t="s">
        <v>834</v>
      </c>
      <c r="E455" s="22">
        <v>0.99</v>
      </c>
      <c r="F455" s="5" t="s">
        <v>50</v>
      </c>
      <c r="G455" s="26">
        <v>1</v>
      </c>
      <c r="H455" s="5" t="s">
        <v>13</v>
      </c>
      <c r="I455" s="11" t="s">
        <v>591</v>
      </c>
      <c r="J455" s="5" t="s">
        <v>221</v>
      </c>
    </row>
    <row r="456" hidden="1" customHeight="1" spans="1:10">
      <c r="A456" s="2">
        <v>680</v>
      </c>
      <c r="B456" s="5" t="s">
        <v>865</v>
      </c>
      <c r="C456" s="5" t="s">
        <v>866</v>
      </c>
      <c r="D456" s="46" t="s">
        <v>867</v>
      </c>
      <c r="E456" s="26"/>
      <c r="F456" s="5" t="s">
        <v>50</v>
      </c>
      <c r="G456" s="26">
        <v>1</v>
      </c>
      <c r="H456" s="5" t="s">
        <v>13</v>
      </c>
      <c r="I456" s="11" t="s">
        <v>591</v>
      </c>
      <c r="J456" s="5" t="s">
        <v>221</v>
      </c>
    </row>
    <row r="457" hidden="1" customHeight="1" spans="1:10">
      <c r="A457" s="2">
        <v>681</v>
      </c>
      <c r="B457" s="29" t="s">
        <v>868</v>
      </c>
      <c r="C457" s="5" t="s">
        <v>836</v>
      </c>
      <c r="D457" s="26" t="str">
        <f>_xlfn.DISPIMG("ID_C73908FE6E46476F975EB3931B64951E",1)</f>
        <v>=DISPIMG("ID_C73908FE6E46476F975EB3931B64951E",1)</v>
      </c>
      <c r="E457" s="23">
        <v>0.985</v>
      </c>
      <c r="F457" s="5" t="s">
        <v>40</v>
      </c>
      <c r="G457" s="26">
        <v>1</v>
      </c>
      <c r="H457" s="5" t="s">
        <v>13</v>
      </c>
      <c r="I457" s="11" t="s">
        <v>591</v>
      </c>
      <c r="J457" s="5" t="s">
        <v>221</v>
      </c>
    </row>
    <row r="458" hidden="1" customHeight="1" spans="1:10">
      <c r="A458" s="2">
        <v>686</v>
      </c>
      <c r="B458" s="5" t="s">
        <v>869</v>
      </c>
      <c r="C458" s="5" t="s">
        <v>870</v>
      </c>
      <c r="D458" s="26" t="str">
        <f>_xlfn.DISPIMG("ID_1284C49208514AA887685007090500C3",1)</f>
        <v>=DISPIMG("ID_1284C49208514AA887685007090500C3",1)</v>
      </c>
      <c r="E458" s="22">
        <v>0.98</v>
      </c>
      <c r="F458" s="5" t="s">
        <v>27</v>
      </c>
      <c r="G458" s="26">
        <v>1</v>
      </c>
      <c r="H458" s="5" t="s">
        <v>13</v>
      </c>
      <c r="I458" s="11" t="s">
        <v>591</v>
      </c>
      <c r="J458" s="5" t="s">
        <v>225</v>
      </c>
    </row>
    <row r="459" hidden="1" customHeight="1" spans="1:10">
      <c r="A459" s="2">
        <v>688</v>
      </c>
      <c r="B459" s="5" t="s">
        <v>871</v>
      </c>
      <c r="C459" s="5" t="s">
        <v>872</v>
      </c>
      <c r="D459" s="50" t="str">
        <f>_xlfn.DISPIMG("ID_5C873F5C8E14444883DB566FB5593942",1)</f>
        <v>=DISPIMG("ID_5C873F5C8E14444883DB566FB5593942",1)</v>
      </c>
      <c r="E459" s="20">
        <v>0.99</v>
      </c>
      <c r="F459" s="5" t="s">
        <v>45</v>
      </c>
      <c r="G459" s="2">
        <v>1</v>
      </c>
      <c r="H459" s="5" t="s">
        <v>272</v>
      </c>
      <c r="I459" s="11" t="s">
        <v>591</v>
      </c>
      <c r="J459" s="5" t="s">
        <v>873</v>
      </c>
    </row>
    <row r="460" hidden="1" customHeight="1" spans="1:10">
      <c r="A460" s="2">
        <v>690</v>
      </c>
      <c r="B460" s="5" t="s">
        <v>874</v>
      </c>
      <c r="C460" s="5" t="s">
        <v>875</v>
      </c>
      <c r="D460" s="2" t="str">
        <f>_xlfn.DISPIMG("ID_42E26F358BA141CA9B594DDE013EC113",1)</f>
        <v>=DISPIMG("ID_42E26F358BA141CA9B594DDE013EC113",1)</v>
      </c>
      <c r="E460" s="5" t="s">
        <v>679</v>
      </c>
      <c r="F460" s="5" t="s">
        <v>45</v>
      </c>
      <c r="G460" s="2">
        <v>1</v>
      </c>
      <c r="H460" s="5" t="s">
        <v>272</v>
      </c>
      <c r="I460" s="5" t="s">
        <v>876</v>
      </c>
      <c r="J460" s="5" t="s">
        <v>877</v>
      </c>
    </row>
    <row r="461" hidden="1" customHeight="1" spans="1:10">
      <c r="A461" s="2">
        <v>691</v>
      </c>
      <c r="B461" s="5" t="s">
        <v>878</v>
      </c>
      <c r="C461" s="5" t="s">
        <v>879</v>
      </c>
      <c r="D461" s="2" t="str">
        <f>_xlfn.DISPIMG("ID_C5B3F0A41B6D44BAB65CC1DEFEB8F75B",1)</f>
        <v>=DISPIMG("ID_C5B3F0A41B6D44BAB65CC1DEFEB8F75B",1)</v>
      </c>
      <c r="E461" s="5" t="s">
        <v>679</v>
      </c>
      <c r="F461" s="5" t="s">
        <v>23</v>
      </c>
      <c r="G461" s="2">
        <v>1</v>
      </c>
      <c r="H461" s="5" t="s">
        <v>272</v>
      </c>
      <c r="I461" s="5" t="s">
        <v>876</v>
      </c>
      <c r="J461" s="5" t="s">
        <v>877</v>
      </c>
    </row>
    <row r="462" hidden="1" customHeight="1" spans="1:10">
      <c r="A462" s="2">
        <v>692</v>
      </c>
      <c r="B462" s="5" t="s">
        <v>880</v>
      </c>
      <c r="C462" s="5" t="s">
        <v>881</v>
      </c>
      <c r="D462" s="2" t="str">
        <f>_xlfn.DISPIMG("ID_D2748909D2EB42BD93D892E4A9A4B8F9",1)</f>
        <v>=DISPIMG("ID_D2748909D2EB42BD93D892E4A9A4B8F9",1)</v>
      </c>
      <c r="E462" s="20">
        <v>0.98</v>
      </c>
      <c r="F462" s="5" t="s">
        <v>23</v>
      </c>
      <c r="G462" s="2">
        <v>1</v>
      </c>
      <c r="H462" s="5" t="s">
        <v>272</v>
      </c>
      <c r="I462" s="5" t="s">
        <v>876</v>
      </c>
      <c r="J462" s="5" t="s">
        <v>877</v>
      </c>
    </row>
    <row r="463" hidden="1" customHeight="1" spans="1:10">
      <c r="A463" s="2">
        <v>700</v>
      </c>
      <c r="B463" s="2" t="s">
        <v>882</v>
      </c>
      <c r="C463" s="2" t="s">
        <v>616</v>
      </c>
      <c r="D463" s="2" t="str">
        <f>_xlfn.DISPIMG("ID_22FA65296B174D08AEC6CD4D9EC60763",1)</f>
        <v>=DISPIMG("ID_22FA65296B174D08AEC6CD4D9EC60763",1)</v>
      </c>
      <c r="E463" s="20">
        <v>0.99</v>
      </c>
      <c r="F463" s="2" t="s">
        <v>57</v>
      </c>
      <c r="G463" s="2">
        <v>1</v>
      </c>
      <c r="H463" s="2" t="s">
        <v>272</v>
      </c>
      <c r="I463" s="2" t="s">
        <v>876</v>
      </c>
      <c r="J463" s="2" t="s">
        <v>883</v>
      </c>
    </row>
    <row r="464" hidden="1" customHeight="1" spans="1:10">
      <c r="A464" s="2">
        <v>709</v>
      </c>
      <c r="B464" s="2" t="s">
        <v>884</v>
      </c>
      <c r="C464" s="2" t="s">
        <v>885</v>
      </c>
      <c r="E464" s="20">
        <v>0.99</v>
      </c>
      <c r="G464" s="2">
        <v>1</v>
      </c>
      <c r="H464" s="2" t="s">
        <v>272</v>
      </c>
      <c r="I464" s="2" t="s">
        <v>876</v>
      </c>
      <c r="J464" s="2" t="s">
        <v>886</v>
      </c>
    </row>
    <row r="465" hidden="1" customHeight="1" spans="1:10">
      <c r="A465" s="2">
        <v>712</v>
      </c>
      <c r="B465" s="2" t="s">
        <v>887</v>
      </c>
      <c r="C465" s="2" t="s">
        <v>699</v>
      </c>
      <c r="E465" s="20">
        <v>0.98</v>
      </c>
      <c r="F465" s="2" t="s">
        <v>23</v>
      </c>
      <c r="G465" s="2">
        <v>1</v>
      </c>
      <c r="H465" s="2" t="s">
        <v>272</v>
      </c>
      <c r="I465" s="2" t="s">
        <v>876</v>
      </c>
      <c r="J465" s="2" t="s">
        <v>886</v>
      </c>
    </row>
    <row r="466" hidden="1" customHeight="1" spans="1:10">
      <c r="A466" s="2">
        <v>713</v>
      </c>
      <c r="B466" s="2" t="s">
        <v>888</v>
      </c>
      <c r="C466" s="2" t="s">
        <v>889</v>
      </c>
      <c r="E466" s="20">
        <v>0.95</v>
      </c>
      <c r="F466" s="2" t="s">
        <v>45</v>
      </c>
      <c r="G466" s="2">
        <v>1</v>
      </c>
      <c r="H466" s="2" t="s">
        <v>272</v>
      </c>
      <c r="I466" s="2" t="s">
        <v>876</v>
      </c>
      <c r="J466" s="2" t="s">
        <v>890</v>
      </c>
    </row>
    <row r="467" hidden="1" customHeight="1" spans="2:10">
      <c r="B467" s="5" t="s">
        <v>891</v>
      </c>
      <c r="C467" s="5" t="s">
        <v>892</v>
      </c>
      <c r="D467" s="2" t="str">
        <f>_xlfn.DISPIMG("ID_F78445DFED914258A4679F7AAFC65D86",1)</f>
        <v>=DISPIMG("ID_F78445DFED914258A4679F7AAFC65D86",1)</v>
      </c>
      <c r="E467" s="20">
        <v>0.97</v>
      </c>
      <c r="F467" s="5" t="s">
        <v>27</v>
      </c>
      <c r="G467" s="2">
        <v>1</v>
      </c>
      <c r="H467" s="5" t="s">
        <v>272</v>
      </c>
      <c r="I467" s="5" t="s">
        <v>876</v>
      </c>
      <c r="J467" s="5" t="s">
        <v>893</v>
      </c>
    </row>
    <row r="468" hidden="1" customHeight="1" spans="2:10">
      <c r="B468" s="31" t="s">
        <v>894</v>
      </c>
      <c r="C468" s="31" t="s">
        <v>895</v>
      </c>
      <c r="D468" s="51" t="e">
        <f>_xlfn.DISPIMG("ID_AF85504E777245CABBA12B0431D681A1",1)</f>
        <v>#REF!</v>
      </c>
      <c r="E468" s="37">
        <v>0.9937</v>
      </c>
      <c r="F468" s="31" t="s">
        <v>23</v>
      </c>
      <c r="G468" s="31">
        <v>1</v>
      </c>
      <c r="H468" s="36" t="s">
        <v>272</v>
      </c>
      <c r="I468" s="32" t="s">
        <v>876</v>
      </c>
      <c r="J468" s="31" t="s">
        <v>280</v>
      </c>
    </row>
    <row r="469" hidden="1" customHeight="1" spans="2:10">
      <c r="B469" s="31" t="s">
        <v>896</v>
      </c>
      <c r="C469" s="52" t="s">
        <v>897</v>
      </c>
      <c r="D469" s="31" t="e">
        <f>_xlfn.DISPIMG("ID_5E312CEBD1BB48C3B953FB2DF3823D40",1)</f>
        <v>#REF!</v>
      </c>
      <c r="E469" s="35">
        <v>0.97</v>
      </c>
      <c r="F469" s="31" t="s">
        <v>23</v>
      </c>
      <c r="G469" s="31">
        <v>1</v>
      </c>
      <c r="H469" s="36" t="s">
        <v>272</v>
      </c>
      <c r="I469" s="32" t="s">
        <v>876</v>
      </c>
      <c r="J469" s="31" t="s">
        <v>280</v>
      </c>
    </row>
    <row r="470" hidden="1" customHeight="1" spans="2:10">
      <c r="B470" s="31" t="s">
        <v>898</v>
      </c>
      <c r="C470" s="31" t="s">
        <v>899</v>
      </c>
      <c r="D470" s="31" t="e">
        <f>_xlfn.DISPIMG("ID_E55B859D85864801B00C44425335EA3D",1)</f>
        <v>#REF!</v>
      </c>
      <c r="E470" s="35">
        <v>0.98</v>
      </c>
      <c r="F470" s="31" t="s">
        <v>45</v>
      </c>
      <c r="G470" s="31">
        <v>1</v>
      </c>
      <c r="H470" s="36" t="s">
        <v>272</v>
      </c>
      <c r="I470" s="32" t="s">
        <v>876</v>
      </c>
      <c r="J470" s="31" t="s">
        <v>280</v>
      </c>
    </row>
    <row r="471" hidden="1" customHeight="1" spans="2:10">
      <c r="B471" s="31" t="s">
        <v>900</v>
      </c>
      <c r="C471" s="31" t="s">
        <v>901</v>
      </c>
      <c r="D471" s="31" t="e">
        <f>_xlfn.DISPIMG("ID_46E482DB11374DD99F98C2F96EA57195",1)</f>
        <v>#REF!</v>
      </c>
      <c r="E471" s="31"/>
      <c r="F471" s="31" t="s">
        <v>23</v>
      </c>
      <c r="G471" s="31">
        <v>1</v>
      </c>
      <c r="H471" s="36" t="s">
        <v>272</v>
      </c>
      <c r="I471" s="32" t="s">
        <v>876</v>
      </c>
      <c r="J471" s="31" t="s">
        <v>280</v>
      </c>
    </row>
    <row r="472" hidden="1" customHeight="1" spans="2:10">
      <c r="B472" s="31" t="s">
        <v>902</v>
      </c>
      <c r="C472" s="31" t="s">
        <v>903</v>
      </c>
      <c r="D472" s="30" t="e">
        <f>_xlfn.DISPIMG("ID_00198BFF6C6E41FBBA22816ACEA291FA",1)</f>
        <v>#REF!</v>
      </c>
      <c r="E472" s="35">
        <v>0.98</v>
      </c>
      <c r="F472" s="31" t="s">
        <v>27</v>
      </c>
      <c r="G472" s="31">
        <v>1</v>
      </c>
      <c r="H472" s="36" t="s">
        <v>272</v>
      </c>
      <c r="I472" s="32" t="s">
        <v>876</v>
      </c>
      <c r="J472" s="31" t="s">
        <v>280</v>
      </c>
    </row>
    <row r="473" hidden="1" customHeight="1" spans="2:10">
      <c r="B473" s="31" t="s">
        <v>904</v>
      </c>
      <c r="C473" s="31" t="s">
        <v>905</v>
      </c>
      <c r="D473" s="31" t="e">
        <f>_xlfn.DISPIMG("ID_760412CCD22744E882D3E7566632FC28",1)</f>
        <v>#REF!</v>
      </c>
      <c r="E473" s="35">
        <v>0.99</v>
      </c>
      <c r="F473" s="31" t="s">
        <v>27</v>
      </c>
      <c r="G473" s="31">
        <v>1</v>
      </c>
      <c r="H473" s="36" t="s">
        <v>272</v>
      </c>
      <c r="I473" s="32" t="s">
        <v>876</v>
      </c>
      <c r="J473" s="31" t="s">
        <v>280</v>
      </c>
    </row>
    <row r="474" hidden="1" customHeight="1" spans="2:10">
      <c r="B474" s="31" t="s">
        <v>906</v>
      </c>
      <c r="C474" s="31" t="s">
        <v>907</v>
      </c>
      <c r="D474" s="30" t="e">
        <f>_xlfn.DISPIMG("ID_9B7C514872764103B1A6D9AAD20056A5",1)</f>
        <v>#REF!</v>
      </c>
      <c r="E474" s="35">
        <v>0.97</v>
      </c>
      <c r="F474" s="31" t="s">
        <v>27</v>
      </c>
      <c r="G474" s="31">
        <v>1</v>
      </c>
      <c r="H474" s="36" t="s">
        <v>272</v>
      </c>
      <c r="I474" s="32" t="s">
        <v>876</v>
      </c>
      <c r="J474" s="31" t="s">
        <v>280</v>
      </c>
    </row>
    <row r="475" hidden="1" customHeight="1" spans="2:10">
      <c r="B475" s="32" t="s">
        <v>908</v>
      </c>
      <c r="C475" s="31" t="s">
        <v>909</v>
      </c>
      <c r="D475" s="31" t="str">
        <f>_xlfn.DISPIMG("ID_C9697A7509FD47F1A37A2C434F779786",1)</f>
        <v>=DISPIMG("ID_C9697A7509FD47F1A37A2C434F779786",1)</v>
      </c>
      <c r="E475" s="35">
        <v>0.99</v>
      </c>
      <c r="F475" s="31" t="s">
        <v>175</v>
      </c>
      <c r="G475" s="31">
        <v>1</v>
      </c>
      <c r="H475" s="36" t="s">
        <v>272</v>
      </c>
      <c r="I475" s="32" t="s">
        <v>876</v>
      </c>
      <c r="J475" s="31" t="s">
        <v>305</v>
      </c>
    </row>
    <row r="476" hidden="1" customHeight="1" spans="2:10">
      <c r="B476" s="32" t="s">
        <v>910</v>
      </c>
      <c r="C476" s="31" t="s">
        <v>911</v>
      </c>
      <c r="D476" s="31" t="e">
        <f>_xlfn.DISPIMG("ID_2BF2B5E55E074E78A634D743C35041C7",1)</f>
        <v>#REF!</v>
      </c>
      <c r="E476" s="35">
        <v>0.97</v>
      </c>
      <c r="F476" s="31" t="s">
        <v>27</v>
      </c>
      <c r="G476" s="31">
        <v>1</v>
      </c>
      <c r="H476" s="36" t="s">
        <v>272</v>
      </c>
      <c r="I476" s="32" t="s">
        <v>876</v>
      </c>
      <c r="J476" s="31" t="s">
        <v>305</v>
      </c>
    </row>
    <row r="477" hidden="1" customHeight="1" spans="2:10">
      <c r="B477" s="31" t="s">
        <v>912</v>
      </c>
      <c r="C477" s="31" t="s">
        <v>913</v>
      </c>
      <c r="D477" s="31" t="str">
        <f>_xlfn.DISPIMG("ID_A4A052E48C9747968ACE98BBDCEA8F6D",1)</f>
        <v>=DISPIMG("ID_A4A052E48C9747968ACE98BBDCEA8F6D",1)</v>
      </c>
      <c r="E477" s="35">
        <v>0.98</v>
      </c>
      <c r="F477" s="31" t="s">
        <v>45</v>
      </c>
      <c r="G477" s="31">
        <v>1</v>
      </c>
      <c r="H477" s="36" t="s">
        <v>272</v>
      </c>
      <c r="I477" s="32" t="s">
        <v>876</v>
      </c>
      <c r="J477" s="31" t="s">
        <v>305</v>
      </c>
    </row>
    <row r="478" hidden="1" customHeight="1" spans="2:10">
      <c r="B478" s="31" t="s">
        <v>914</v>
      </c>
      <c r="C478" s="31" t="s">
        <v>915</v>
      </c>
      <c r="D478" s="31" t="str">
        <f>_xlfn.DISPIMG("ID_ADFA9CC14FD94E259F3C39113764795B",1)</f>
        <v>=DISPIMG("ID_ADFA9CC14FD94E259F3C39113764795B",1)</v>
      </c>
      <c r="E478" s="31"/>
      <c r="F478" s="31" t="s">
        <v>175</v>
      </c>
      <c r="G478" s="31">
        <v>1</v>
      </c>
      <c r="H478" s="36" t="s">
        <v>272</v>
      </c>
      <c r="I478" s="32" t="s">
        <v>876</v>
      </c>
      <c r="J478" s="31" t="s">
        <v>305</v>
      </c>
    </row>
    <row r="479" hidden="1" customHeight="1" spans="2:10">
      <c r="B479" s="31" t="s">
        <v>916</v>
      </c>
      <c r="C479" s="51" t="s">
        <v>308</v>
      </c>
      <c r="D479" s="31" t="str">
        <f>_xlfn.DISPIMG("ID_AB7E26F576F744BB991EAC81E40025AE",1)</f>
        <v>=DISPIMG("ID_AB7E26F576F744BB991EAC81E40025AE",1)</v>
      </c>
      <c r="E479" s="35">
        <v>0.98</v>
      </c>
      <c r="F479" s="31" t="s">
        <v>45</v>
      </c>
      <c r="G479" s="31">
        <v>1</v>
      </c>
      <c r="H479" s="36" t="s">
        <v>272</v>
      </c>
      <c r="I479" s="32" t="s">
        <v>876</v>
      </c>
      <c r="J479" s="31" t="s">
        <v>305</v>
      </c>
    </row>
    <row r="480" hidden="1" customHeight="1" spans="2:10">
      <c r="B480" s="31" t="s">
        <v>917</v>
      </c>
      <c r="C480" s="51" t="s">
        <v>918</v>
      </c>
      <c r="D480" s="31" t="str">
        <f>_xlfn.DISPIMG("ID_50D6CC3017C8434C93931EEAF49271B3",1)</f>
        <v>=DISPIMG("ID_50D6CC3017C8434C93931EEAF49271B3",1)</v>
      </c>
      <c r="E480" s="37">
        <v>0.9895</v>
      </c>
      <c r="F480" s="31" t="s">
        <v>23</v>
      </c>
      <c r="G480" s="31">
        <v>2</v>
      </c>
      <c r="H480" s="36" t="s">
        <v>272</v>
      </c>
      <c r="I480" s="32" t="s">
        <v>876</v>
      </c>
      <c r="J480" s="31" t="s">
        <v>305</v>
      </c>
    </row>
    <row r="481" hidden="1" customHeight="1" spans="2:10">
      <c r="B481" s="31" t="s">
        <v>919</v>
      </c>
      <c r="C481" s="31" t="s">
        <v>920</v>
      </c>
      <c r="D481" s="31" t="str">
        <f>_xlfn.DISPIMG("ID_FF607DE2383946A082645266206A7791",1)</f>
        <v>=DISPIMG("ID_FF607DE2383946A082645266206A7791",1)</v>
      </c>
      <c r="E481" s="35">
        <v>0.98</v>
      </c>
      <c r="F481" s="31" t="s">
        <v>45</v>
      </c>
      <c r="G481" s="31">
        <v>1</v>
      </c>
      <c r="H481" s="36" t="s">
        <v>272</v>
      </c>
      <c r="I481" s="32" t="s">
        <v>876</v>
      </c>
      <c r="J481" s="31" t="s">
        <v>308</v>
      </c>
    </row>
    <row r="482" hidden="1" customHeight="1" spans="2:10">
      <c r="B482" s="31" t="s">
        <v>921</v>
      </c>
      <c r="C482" s="31" t="s">
        <v>815</v>
      </c>
      <c r="D482" s="31" t="e">
        <f>_xlfn.DISPIMG("ID_36C5E0450CA449A9A8D8A25D0525BCC5",1)</f>
        <v>#REF!</v>
      </c>
      <c r="E482" s="35">
        <v>0.98</v>
      </c>
      <c r="F482" s="31" t="s">
        <v>45</v>
      </c>
      <c r="G482" s="31">
        <v>1</v>
      </c>
      <c r="H482" s="36" t="s">
        <v>272</v>
      </c>
      <c r="I482" s="32" t="s">
        <v>876</v>
      </c>
      <c r="J482" s="31" t="s">
        <v>305</v>
      </c>
    </row>
    <row r="483" hidden="1" customHeight="1" spans="2:10">
      <c r="B483" s="31" t="s">
        <v>922</v>
      </c>
      <c r="C483" s="31" t="s">
        <v>923</v>
      </c>
      <c r="D483" s="31" t="str">
        <f>_xlfn.DISPIMG("ID_35D5C523FA0B4581A92DA254863FFB7E",1)</f>
        <v>=DISPIMG("ID_35D5C523FA0B4581A92DA254863FFB7E",1)</v>
      </c>
      <c r="E483" s="35">
        <v>0.98</v>
      </c>
      <c r="F483" s="31" t="s">
        <v>45</v>
      </c>
      <c r="G483" s="31">
        <v>1</v>
      </c>
      <c r="H483" s="36" t="s">
        <v>272</v>
      </c>
      <c r="I483" s="32" t="s">
        <v>876</v>
      </c>
      <c r="J483" s="31" t="s">
        <v>308</v>
      </c>
    </row>
    <row r="484" hidden="1" customHeight="1" spans="2:10">
      <c r="B484" s="32" t="s">
        <v>924</v>
      </c>
      <c r="C484" s="32" t="s">
        <v>925</v>
      </c>
      <c r="D484" s="31" t="str">
        <f>_xlfn.DISPIMG("ID_35BB982A888947C68C66E1D50A6D4730",1)</f>
        <v>=DISPIMG("ID_35BB982A888947C68C66E1D50A6D4730",1)</v>
      </c>
      <c r="E484" s="35">
        <v>0.97</v>
      </c>
      <c r="F484" s="31" t="s">
        <v>45</v>
      </c>
      <c r="G484" s="31">
        <v>1</v>
      </c>
      <c r="H484" s="36" t="s">
        <v>272</v>
      </c>
      <c r="I484" s="32" t="s">
        <v>876</v>
      </c>
      <c r="J484" s="31" t="s">
        <v>926</v>
      </c>
    </row>
    <row r="485" hidden="1" customHeight="1" spans="2:10">
      <c r="B485" s="32" t="s">
        <v>927</v>
      </c>
      <c r="C485" s="31" t="s">
        <v>928</v>
      </c>
      <c r="D485" s="31" t="str">
        <f>_xlfn.DISPIMG("ID_9A622A29E5284CCEA9BC8D62E53B188E",1)</f>
        <v>=DISPIMG("ID_9A622A29E5284CCEA9BC8D62E53B188E",1)</v>
      </c>
      <c r="E485" s="31"/>
      <c r="F485" s="31" t="s">
        <v>175</v>
      </c>
      <c r="G485" s="31">
        <v>1</v>
      </c>
      <c r="H485" s="36" t="s">
        <v>272</v>
      </c>
      <c r="I485" s="32" t="s">
        <v>876</v>
      </c>
      <c r="J485" s="31" t="s">
        <v>316</v>
      </c>
    </row>
    <row r="486" hidden="1" customHeight="1" spans="2:10">
      <c r="B486" s="32" t="s">
        <v>929</v>
      </c>
      <c r="C486" s="31" t="s">
        <v>930</v>
      </c>
      <c r="D486" s="31" t="e">
        <f>_xlfn.DISPIMG("ID_D120C65BF348487B9D1833C04FB24390",1)</f>
        <v>#REF!</v>
      </c>
      <c r="E486" s="35">
        <v>0.98</v>
      </c>
      <c r="F486" s="31" t="s">
        <v>45</v>
      </c>
      <c r="G486" s="31">
        <v>1</v>
      </c>
      <c r="H486" s="36" t="s">
        <v>272</v>
      </c>
      <c r="I486" s="32" t="s">
        <v>876</v>
      </c>
      <c r="J486" s="31" t="s">
        <v>316</v>
      </c>
    </row>
    <row r="487" hidden="1" customHeight="1" spans="2:10">
      <c r="B487" s="32" t="s">
        <v>931</v>
      </c>
      <c r="C487" s="53" t="s">
        <v>932</v>
      </c>
      <c r="D487" s="31" t="e">
        <f>_xlfn.DISPIMG("ID_3491DDAAD8934D168CB7D1295ECB58A3",1)</f>
        <v>#REF!</v>
      </c>
      <c r="E487" s="35">
        <v>0.98</v>
      </c>
      <c r="F487" s="31" t="s">
        <v>27</v>
      </c>
      <c r="G487" s="31">
        <v>1</v>
      </c>
      <c r="H487" s="36" t="s">
        <v>272</v>
      </c>
      <c r="I487" s="32" t="s">
        <v>876</v>
      </c>
      <c r="J487" s="31" t="s">
        <v>606</v>
      </c>
    </row>
    <row r="488" hidden="1" customHeight="1" spans="2:10">
      <c r="B488" s="32" t="s">
        <v>933</v>
      </c>
      <c r="C488" s="52" t="s">
        <v>678</v>
      </c>
      <c r="D488" s="31" t="e">
        <f>_xlfn.DISPIMG("ID_43F1CCCD4F434F47BA59E397C227DCF0",1)</f>
        <v>#REF!</v>
      </c>
      <c r="E488" s="35">
        <v>0.98</v>
      </c>
      <c r="F488" s="31" t="s">
        <v>156</v>
      </c>
      <c r="G488" s="31">
        <v>2</v>
      </c>
      <c r="H488" s="36" t="s">
        <v>272</v>
      </c>
      <c r="I488" s="32" t="s">
        <v>876</v>
      </c>
      <c r="J488" s="31" t="s">
        <v>316</v>
      </c>
    </row>
    <row r="489" hidden="1" customHeight="1" spans="2:10">
      <c r="B489" s="32" t="s">
        <v>934</v>
      </c>
      <c r="C489" s="51" t="s">
        <v>935</v>
      </c>
      <c r="D489" s="31" t="e">
        <f>_xlfn.DISPIMG("ID_F384E13C2E594660826DD201A72E0CBA",1)</f>
        <v>#REF!</v>
      </c>
      <c r="E489" s="31"/>
      <c r="F489" s="31" t="s">
        <v>936</v>
      </c>
      <c r="G489" s="31">
        <v>1</v>
      </c>
      <c r="H489" s="36" t="s">
        <v>272</v>
      </c>
      <c r="I489" s="32" t="s">
        <v>876</v>
      </c>
      <c r="J489" s="31" t="s">
        <v>316</v>
      </c>
    </row>
    <row r="490" hidden="1" customHeight="1" spans="2:10">
      <c r="B490" s="54" t="s">
        <v>934</v>
      </c>
      <c r="C490" s="31" t="s">
        <v>935</v>
      </c>
      <c r="D490" s="31" t="e">
        <f>_xlfn.DISPIMG("ID_14C53E91C408497EA14C416233B6D7D1",1)</f>
        <v>#REF!</v>
      </c>
      <c r="E490" s="31"/>
      <c r="F490" s="31" t="s">
        <v>937</v>
      </c>
      <c r="G490" s="31">
        <v>2</v>
      </c>
      <c r="H490" s="36" t="s">
        <v>272</v>
      </c>
      <c r="I490" s="32" t="s">
        <v>876</v>
      </c>
      <c r="J490" s="31" t="s">
        <v>316</v>
      </c>
    </row>
    <row r="491" hidden="1" customHeight="1" spans="2:10">
      <c r="B491" s="32" t="s">
        <v>934</v>
      </c>
      <c r="C491" s="31" t="s">
        <v>935</v>
      </c>
      <c r="D491" s="30" t="e">
        <f>_xlfn.DISPIMG("ID_E4F3AB8B53784199B19C5F5197C5C142",1)</f>
        <v>#REF!</v>
      </c>
      <c r="E491" s="31"/>
      <c r="F491" s="31" t="s">
        <v>937</v>
      </c>
      <c r="G491" s="31">
        <v>1</v>
      </c>
      <c r="H491" s="36" t="s">
        <v>272</v>
      </c>
      <c r="I491" s="32" t="s">
        <v>876</v>
      </c>
      <c r="J491" s="31" t="s">
        <v>316</v>
      </c>
    </row>
    <row r="492" hidden="1" customHeight="1" spans="2:10">
      <c r="B492" s="31" t="s">
        <v>938</v>
      </c>
      <c r="C492" s="31" t="s">
        <v>939</v>
      </c>
      <c r="D492" s="31" t="e">
        <f>_xlfn.DISPIMG("ID_D02592979D694667BBEC9BCCEE6131B7",1)</f>
        <v>#REF!</v>
      </c>
      <c r="E492" s="35">
        <v>0.98</v>
      </c>
      <c r="F492" s="31" t="s">
        <v>23</v>
      </c>
      <c r="G492" s="31">
        <v>1</v>
      </c>
      <c r="H492" s="36" t="s">
        <v>272</v>
      </c>
      <c r="I492" s="32" t="s">
        <v>876</v>
      </c>
      <c r="J492" s="31" t="s">
        <v>316</v>
      </c>
    </row>
    <row r="493" hidden="1" customHeight="1" spans="2:10">
      <c r="B493" s="31" t="s">
        <v>940</v>
      </c>
      <c r="C493" s="31" t="s">
        <v>941</v>
      </c>
      <c r="D493" s="31" t="str">
        <f>_xlfn.DISPIMG("ID_CD5EC99DCD524E40A50BFDB1EE1E7E9A",1)</f>
        <v>=DISPIMG("ID_CD5EC99DCD524E40A50BFDB1EE1E7E9A",1)</v>
      </c>
      <c r="E493" s="35">
        <v>0.99</v>
      </c>
      <c r="F493" s="31" t="s">
        <v>156</v>
      </c>
      <c r="G493" s="31">
        <v>1</v>
      </c>
      <c r="H493" s="36" t="s">
        <v>272</v>
      </c>
      <c r="I493" s="32" t="s">
        <v>876</v>
      </c>
      <c r="J493" s="31" t="s">
        <v>319</v>
      </c>
    </row>
    <row r="494" hidden="1" customHeight="1" spans="2:10">
      <c r="B494" s="32" t="s">
        <v>942</v>
      </c>
      <c r="C494" s="53" t="s">
        <v>943</v>
      </c>
      <c r="D494" s="31" t="e">
        <f>_xlfn.DISPIMG("ID_0F2BDA6FC9CD4F90AF5A7112F3E52A17",1)</f>
        <v>#REF!</v>
      </c>
      <c r="E494" s="35">
        <v>0.99</v>
      </c>
      <c r="F494" s="31"/>
      <c r="G494" s="31">
        <v>1</v>
      </c>
      <c r="H494" s="36" t="s">
        <v>272</v>
      </c>
      <c r="I494" s="32" t="s">
        <v>876</v>
      </c>
      <c r="J494" s="31" t="s">
        <v>316</v>
      </c>
    </row>
    <row r="495" hidden="1" customHeight="1" spans="2:10">
      <c r="B495" s="31" t="s">
        <v>944</v>
      </c>
      <c r="C495" s="31" t="s">
        <v>343</v>
      </c>
      <c r="D495" s="30" t="e">
        <f>_xlfn.DISPIMG("ID_7F9E0B42532248419A2D5B210E78ECDE",1)</f>
        <v>#REF!</v>
      </c>
      <c r="E495" s="35">
        <v>0.98</v>
      </c>
      <c r="F495" s="31" t="s">
        <v>23</v>
      </c>
      <c r="G495" s="31">
        <v>1</v>
      </c>
      <c r="H495" s="36" t="s">
        <v>272</v>
      </c>
      <c r="I495" s="32" t="s">
        <v>876</v>
      </c>
      <c r="J495" s="31" t="s">
        <v>370</v>
      </c>
    </row>
    <row r="496" hidden="1" customHeight="1" spans="2:10">
      <c r="B496" s="31" t="s">
        <v>364</v>
      </c>
      <c r="C496" s="31" t="s">
        <v>365</v>
      </c>
      <c r="D496" s="30" t="e">
        <f>_xlfn.DISPIMG("ID_5A047FBA2A7F4AF684AE17DAAAFFF2F7",1)</f>
        <v>#REF!</v>
      </c>
      <c r="E496" s="35">
        <v>0.97</v>
      </c>
      <c r="F496" s="31" t="s">
        <v>161</v>
      </c>
      <c r="G496" s="31">
        <v>1</v>
      </c>
      <c r="H496" s="36" t="s">
        <v>272</v>
      </c>
      <c r="I496" s="32" t="s">
        <v>876</v>
      </c>
      <c r="J496" s="31" t="s">
        <v>370</v>
      </c>
    </row>
    <row r="497" hidden="1" customHeight="1" spans="2:10">
      <c r="B497" s="31" t="s">
        <v>945</v>
      </c>
      <c r="C497" s="31" t="s">
        <v>946</v>
      </c>
      <c r="D497" s="30" t="e">
        <f>_xlfn.DISPIMG("ID_87D885738B404A9C851EAAF97EA66112",1)</f>
        <v>#REF!</v>
      </c>
      <c r="E497" s="35">
        <v>0.96</v>
      </c>
      <c r="F497" s="31" t="s">
        <v>23</v>
      </c>
      <c r="G497" s="31">
        <v>1</v>
      </c>
      <c r="H497" s="36" t="s">
        <v>272</v>
      </c>
      <c r="I497" s="32" t="s">
        <v>876</v>
      </c>
      <c r="J497" s="31" t="s">
        <v>370</v>
      </c>
    </row>
    <row r="498" hidden="1" customHeight="1" spans="2:10">
      <c r="B498" s="31" t="s">
        <v>947</v>
      </c>
      <c r="C498" s="31" t="s">
        <v>717</v>
      </c>
      <c r="D498" s="30" t="e">
        <f>_xlfn.DISPIMG("ID_4EB899AA147D46E298C0DF419DABB12E",1)</f>
        <v>#REF!</v>
      </c>
      <c r="E498" s="35">
        <v>0.98</v>
      </c>
      <c r="F498" s="31" t="s">
        <v>45</v>
      </c>
      <c r="G498" s="31">
        <v>1</v>
      </c>
      <c r="H498" s="36" t="s">
        <v>272</v>
      </c>
      <c r="I498" s="32" t="s">
        <v>876</v>
      </c>
      <c r="J498" s="31" t="s">
        <v>370</v>
      </c>
    </row>
    <row r="499" hidden="1" customHeight="1" spans="2:10">
      <c r="B499" s="32" t="s">
        <v>948</v>
      </c>
      <c r="C499" s="55" t="s">
        <v>949</v>
      </c>
      <c r="D499" s="31" t="e">
        <f>_xlfn.DISPIMG("ID_F66E43D78C2B4276B06B7A896C5EAE72",1)</f>
        <v>#REF!</v>
      </c>
      <c r="E499" s="35">
        <v>0.99</v>
      </c>
      <c r="F499" s="31" t="s">
        <v>161</v>
      </c>
      <c r="G499" s="31">
        <v>1</v>
      </c>
      <c r="H499" s="36" t="s">
        <v>272</v>
      </c>
      <c r="I499" s="32" t="s">
        <v>876</v>
      </c>
      <c r="J499" s="31" t="s">
        <v>370</v>
      </c>
    </row>
    <row r="500" hidden="1" customHeight="1" spans="2:10">
      <c r="B500" s="40" t="s">
        <v>950</v>
      </c>
      <c r="C500" s="2" t="s">
        <v>951</v>
      </c>
      <c r="D500" s="2" t="str">
        <f>_xlfn.DISPIMG("ID_50EB399F86864CF99FBBB8E5FC3383EB",1)</f>
        <v>=DISPIMG("ID_50EB399F86864CF99FBBB8E5FC3383EB",1)</v>
      </c>
      <c r="E500" s="20">
        <v>0.98</v>
      </c>
      <c r="F500" s="5" t="s">
        <v>23</v>
      </c>
      <c r="G500" s="2">
        <v>1</v>
      </c>
      <c r="H500" s="5" t="s">
        <v>272</v>
      </c>
      <c r="I500" s="5" t="s">
        <v>876</v>
      </c>
      <c r="J500" s="5" t="s">
        <v>104</v>
      </c>
    </row>
    <row r="501" hidden="1" customHeight="1" spans="2:10">
      <c r="B501" s="2" t="s">
        <v>952</v>
      </c>
      <c r="C501" s="56" t="s">
        <v>953</v>
      </c>
      <c r="D501" s="2" t="str">
        <f>_xlfn.DISPIMG("ID_A49BB6101CD943ACA7EA26C6507959D4",1)</f>
        <v>=DISPIMG("ID_A49BB6101CD943ACA7EA26C6507959D4",1)</v>
      </c>
      <c r="E501" s="20">
        <v>0.98</v>
      </c>
      <c r="F501" s="5" t="s">
        <v>50</v>
      </c>
      <c r="G501" s="2">
        <v>1</v>
      </c>
      <c r="H501" s="5" t="s">
        <v>272</v>
      </c>
      <c r="I501" s="5" t="s">
        <v>876</v>
      </c>
      <c r="J501" s="5" t="s">
        <v>104</v>
      </c>
    </row>
    <row r="502" hidden="1" customHeight="1" spans="2:10">
      <c r="B502" s="57" t="s">
        <v>954</v>
      </c>
      <c r="C502" s="5" t="s">
        <v>955</v>
      </c>
      <c r="D502" s="2" t="str">
        <f>_xlfn.DISPIMG("ID_E0213EC21ECE4C8DB0FEFE72C67BBF31",1)</f>
        <v>=DISPIMG("ID_E0213EC21ECE4C8DB0FEFE72C67BBF31",1)</v>
      </c>
      <c r="E502" s="28">
        <v>0.98</v>
      </c>
      <c r="F502" s="5" t="s">
        <v>50</v>
      </c>
      <c r="G502" s="2">
        <v>1</v>
      </c>
      <c r="H502" s="5" t="s">
        <v>272</v>
      </c>
      <c r="I502" s="5" t="s">
        <v>876</v>
      </c>
      <c r="J502" s="5" t="s">
        <v>606</v>
      </c>
    </row>
    <row r="503" hidden="1" customHeight="1" spans="2:10">
      <c r="B503" s="58" t="s">
        <v>956</v>
      </c>
      <c r="C503" s="5" t="s">
        <v>957</v>
      </c>
      <c r="D503" s="2" t="str">
        <f>_xlfn.DISPIMG("ID_B9963188EDAD454C9AB6987C33EAEE12",1)</f>
        <v>=DISPIMG("ID_B9963188EDAD454C9AB6987C33EAEE12",1)</v>
      </c>
      <c r="E503" s="20">
        <v>0.98</v>
      </c>
      <c r="F503" s="5" t="s">
        <v>23</v>
      </c>
      <c r="G503" s="2">
        <v>1</v>
      </c>
      <c r="H503" s="5" t="s">
        <v>272</v>
      </c>
      <c r="I503" s="5" t="s">
        <v>876</v>
      </c>
      <c r="J503" s="5" t="s">
        <v>606</v>
      </c>
    </row>
    <row r="504" hidden="1" customHeight="1" spans="2:10">
      <c r="B504" s="58" t="s">
        <v>933</v>
      </c>
      <c r="C504" s="15" t="s">
        <v>678</v>
      </c>
      <c r="D504" s="2" t="str">
        <f>_xlfn.DISPIMG("ID_038E259D2B104565A54D8ED0888A651D",1)</f>
        <v>=DISPIMG("ID_038E259D2B104565A54D8ED0888A651D",1)</v>
      </c>
      <c r="E504" s="5" t="s">
        <v>202</v>
      </c>
      <c r="F504" s="5" t="s">
        <v>75</v>
      </c>
      <c r="G504" s="2">
        <v>1</v>
      </c>
      <c r="H504" s="5" t="s">
        <v>272</v>
      </c>
      <c r="I504" s="5" t="s">
        <v>876</v>
      </c>
      <c r="J504" s="5" t="s">
        <v>606</v>
      </c>
    </row>
    <row r="505" hidden="1" customHeight="1" spans="2:10">
      <c r="B505" s="7" t="s">
        <v>695</v>
      </c>
      <c r="C505" s="7" t="s">
        <v>684</v>
      </c>
      <c r="D505" s="7" t="str">
        <f>_xlfn.DISPIMG("ID_92817290954F40C280839ADD2C10E8D6",1)</f>
        <v>=DISPIMG("ID_92817290954F40C280839ADD2C10E8D6",1)</v>
      </c>
      <c r="E505" s="22">
        <v>0.99</v>
      </c>
      <c r="F505" s="11" t="s">
        <v>45</v>
      </c>
      <c r="G505" s="7">
        <v>1</v>
      </c>
      <c r="H505" s="11" t="s">
        <v>13</v>
      </c>
      <c r="I505" s="44" t="s">
        <v>625</v>
      </c>
      <c r="J505" s="5" t="s">
        <v>606</v>
      </c>
    </row>
    <row r="506" hidden="1" customHeight="1" spans="2:10">
      <c r="B506" s="5" t="s">
        <v>958</v>
      </c>
      <c r="C506" s="15" t="s">
        <v>959</v>
      </c>
      <c r="D506" s="2" t="str">
        <f>_xlfn.DISPIMG("ID_3E7D677B8228408AB07A3C9A37FB1141",1)</f>
        <v>=DISPIMG("ID_3E7D677B8228408AB07A3C9A37FB1141",1)</v>
      </c>
      <c r="E506" s="20">
        <v>0.97</v>
      </c>
      <c r="F506" s="5" t="s">
        <v>23</v>
      </c>
      <c r="G506" s="2">
        <v>1</v>
      </c>
      <c r="H506" s="5" t="s">
        <v>272</v>
      </c>
      <c r="I506" s="5" t="s">
        <v>876</v>
      </c>
      <c r="J506" s="5" t="s">
        <v>873</v>
      </c>
    </row>
    <row r="507" hidden="1" customHeight="1" spans="2:10">
      <c r="B507" s="5" t="s">
        <v>960</v>
      </c>
      <c r="C507" s="15" t="s">
        <v>961</v>
      </c>
      <c r="D507" s="2" t="str">
        <f>_xlfn.DISPIMG("ID_3B2B155A65E540B284072DDBE9789504",1)</f>
        <v>=DISPIMG("ID_3B2B155A65E540B284072DDBE9789504",1)</v>
      </c>
      <c r="E507" s="20">
        <v>0.98</v>
      </c>
      <c r="F507" s="5" t="s">
        <v>23</v>
      </c>
      <c r="G507" s="2">
        <v>1</v>
      </c>
      <c r="H507" s="5" t="s">
        <v>272</v>
      </c>
      <c r="I507" s="5" t="s">
        <v>876</v>
      </c>
      <c r="J507" s="5" t="s">
        <v>962</v>
      </c>
    </row>
    <row r="508" hidden="1" customHeight="1" spans="2:10">
      <c r="B508" s="5" t="s">
        <v>963</v>
      </c>
      <c r="C508" s="15" t="s">
        <v>964</v>
      </c>
      <c r="D508" s="2" t="str">
        <f>_xlfn.DISPIMG("ID_6728483EF0ED49389D46459A47922B73",1)</f>
        <v>=DISPIMG("ID_6728483EF0ED49389D46459A47922B73",1)</v>
      </c>
      <c r="E508" s="20">
        <v>0.99</v>
      </c>
      <c r="F508" s="2" t="s">
        <v>23</v>
      </c>
      <c r="G508" s="2">
        <v>1</v>
      </c>
      <c r="H508" s="5" t="s">
        <v>272</v>
      </c>
      <c r="I508" s="5" t="s">
        <v>876</v>
      </c>
      <c r="J508" s="5" t="s">
        <v>965</v>
      </c>
    </row>
    <row r="509" hidden="1" customHeight="1" spans="2:10">
      <c r="B509" s="5" t="s">
        <v>966</v>
      </c>
      <c r="C509" s="15" t="s">
        <v>967</v>
      </c>
      <c r="D509" s="2" t="str">
        <f>_xlfn.DISPIMG("ID_717AD798A07A474FA962AF952A6921E8",1)</f>
        <v>=DISPIMG("ID_717AD798A07A474FA962AF952A6921E8",1)</v>
      </c>
      <c r="E509" s="5" t="s">
        <v>679</v>
      </c>
      <c r="F509" s="5" t="s">
        <v>23</v>
      </c>
      <c r="G509" s="2">
        <v>1</v>
      </c>
      <c r="H509" s="5" t="s">
        <v>272</v>
      </c>
      <c r="I509" s="5" t="s">
        <v>876</v>
      </c>
      <c r="J509" s="5" t="s">
        <v>968</v>
      </c>
    </row>
    <row r="510" hidden="1" customHeight="1" spans="2:10">
      <c r="B510" s="5" t="s">
        <v>969</v>
      </c>
      <c r="C510" s="59" t="s">
        <v>970</v>
      </c>
      <c r="D510" s="2" t="str">
        <f>_xlfn.DISPIMG("ID_6D7B0B3CEB1546E2AB8C4254045A4216",1)</f>
        <v>=DISPIMG("ID_6D7B0B3CEB1546E2AB8C4254045A4216",1)</v>
      </c>
      <c r="E510" s="20">
        <v>0.98</v>
      </c>
      <c r="F510" s="5" t="s">
        <v>23</v>
      </c>
      <c r="G510" s="2">
        <v>1</v>
      </c>
      <c r="H510" s="5" t="s">
        <v>272</v>
      </c>
      <c r="I510" s="5" t="s">
        <v>876</v>
      </c>
      <c r="J510" s="5" t="s">
        <v>971</v>
      </c>
    </row>
    <row r="511" hidden="1" customHeight="1" spans="2:10">
      <c r="B511" s="5" t="s">
        <v>972</v>
      </c>
      <c r="C511" s="15" t="s">
        <v>973</v>
      </c>
      <c r="D511" s="2" t="str">
        <f>_xlfn.DISPIMG("ID_D9A82693E61045ADA33F5D3DA6B7827B",1)</f>
        <v>=DISPIMG("ID_D9A82693E61045ADA33F5D3DA6B7827B",1)</v>
      </c>
      <c r="E511" s="20">
        <v>0.98</v>
      </c>
      <c r="F511" s="5" t="s">
        <v>23</v>
      </c>
      <c r="G511" s="2">
        <v>1</v>
      </c>
      <c r="H511" s="5" t="s">
        <v>272</v>
      </c>
      <c r="I511" s="5" t="s">
        <v>876</v>
      </c>
      <c r="J511" s="5" t="s">
        <v>974</v>
      </c>
    </row>
    <row r="512" hidden="1" customHeight="1" spans="2:10">
      <c r="B512" s="5" t="s">
        <v>975</v>
      </c>
      <c r="C512" s="15" t="s">
        <v>976</v>
      </c>
      <c r="D512" s="2" t="str">
        <f>_xlfn.DISPIMG("ID_F0B131702F554576953078CCFDD607D3",1)</f>
        <v>=DISPIMG("ID_F0B131702F554576953078CCFDD607D3",1)</v>
      </c>
      <c r="E512" s="20">
        <v>0.98</v>
      </c>
      <c r="F512" s="5" t="s">
        <v>23</v>
      </c>
      <c r="G512" s="2">
        <v>1</v>
      </c>
      <c r="H512" s="5" t="s">
        <v>272</v>
      </c>
      <c r="I512" s="5" t="s">
        <v>876</v>
      </c>
      <c r="J512" s="5" t="s">
        <v>977</v>
      </c>
    </row>
    <row r="513" hidden="1" customHeight="1" spans="2:10">
      <c r="B513" s="5" t="s">
        <v>978</v>
      </c>
      <c r="C513" s="5" t="s">
        <v>979</v>
      </c>
      <c r="D513" s="2" t="str">
        <f>_xlfn.DISPIMG("ID_351144BD473E46CF900F0E964E12F48B",1)</f>
        <v>=DISPIMG("ID_351144BD473E46CF900F0E964E12F48B",1)</v>
      </c>
      <c r="E513" s="28">
        <v>0.98</v>
      </c>
      <c r="F513" s="5" t="s">
        <v>23</v>
      </c>
      <c r="G513" s="2">
        <v>1</v>
      </c>
      <c r="H513" s="5" t="s">
        <v>272</v>
      </c>
      <c r="I513" s="5" t="s">
        <v>876</v>
      </c>
      <c r="J513" s="5" t="s">
        <v>980</v>
      </c>
    </row>
    <row r="514" hidden="1" customHeight="1" spans="2:10">
      <c r="B514" s="5" t="s">
        <v>981</v>
      </c>
      <c r="C514" s="5" t="s">
        <v>982</v>
      </c>
      <c r="D514" s="2" t="str">
        <f>_xlfn.DISPIMG("ID_2254D4E2792B40D596455186C150708F",1)</f>
        <v>=DISPIMG("ID_2254D4E2792B40D596455186C150708F",1)</v>
      </c>
      <c r="E514" s="20">
        <v>0.98</v>
      </c>
      <c r="F514" s="5" t="s">
        <v>23</v>
      </c>
      <c r="G514" s="2">
        <v>1</v>
      </c>
      <c r="H514" s="5" t="s">
        <v>272</v>
      </c>
      <c r="I514" s="5" t="s">
        <v>876</v>
      </c>
      <c r="J514" s="5" t="s">
        <v>983</v>
      </c>
    </row>
    <row r="515" hidden="1" customHeight="1" spans="2:10">
      <c r="B515" s="5" t="s">
        <v>360</v>
      </c>
      <c r="C515" s="5" t="s">
        <v>361</v>
      </c>
      <c r="D515" s="2" t="str">
        <f>_xlfn.DISPIMG("ID_274A868EC17A46CA9783BB4FE5355275",1)</f>
        <v>=DISPIMG("ID_274A868EC17A46CA9783BB4FE5355275",1)</v>
      </c>
      <c r="E515" s="20">
        <v>0.97</v>
      </c>
      <c r="F515" s="5" t="s">
        <v>27</v>
      </c>
      <c r="G515" s="2">
        <v>1</v>
      </c>
      <c r="H515" s="5" t="s">
        <v>272</v>
      </c>
      <c r="I515" s="5" t="s">
        <v>876</v>
      </c>
      <c r="J515" s="5" t="s">
        <v>984</v>
      </c>
    </row>
    <row r="516" hidden="1" customHeight="1" spans="2:10">
      <c r="B516" s="5" t="s">
        <v>985</v>
      </c>
      <c r="C516" s="5" t="s">
        <v>986</v>
      </c>
      <c r="D516" s="2" t="str">
        <f>_xlfn.DISPIMG("ID_5A087E6E8252477595044F3001A9C46C",1)</f>
        <v>=DISPIMG("ID_5A087E6E8252477595044F3001A9C46C",1)</v>
      </c>
      <c r="E516" s="20">
        <v>0.98</v>
      </c>
      <c r="F516" s="5" t="s">
        <v>27</v>
      </c>
      <c r="G516" s="2">
        <v>1</v>
      </c>
      <c r="H516" s="5" t="s">
        <v>272</v>
      </c>
      <c r="I516" s="5" t="s">
        <v>876</v>
      </c>
      <c r="J516" s="5" t="s">
        <v>987</v>
      </c>
    </row>
    <row r="517" hidden="1" customHeight="1" spans="1:10">
      <c r="A517" s="2">
        <v>203</v>
      </c>
      <c r="B517" s="5" t="s">
        <v>988</v>
      </c>
      <c r="C517" s="8" t="s">
        <v>989</v>
      </c>
      <c r="D517" s="7" t="str">
        <f>_xlfn.DISPIMG("ID_9FEEA24AFAD44B60992FD79207F1CFCF",1)</f>
        <v>=DISPIMG("ID_9FEEA24AFAD44B60992FD79207F1CFCF",1)</v>
      </c>
      <c r="G517" s="2">
        <v>1</v>
      </c>
      <c r="H517" s="5" t="s">
        <v>13</v>
      </c>
      <c r="I517" s="5" t="s">
        <v>990</v>
      </c>
      <c r="J517" s="5" t="s">
        <v>518</v>
      </c>
    </row>
    <row r="518" hidden="1" customHeight="1" spans="1:10">
      <c r="A518" s="2">
        <v>218</v>
      </c>
      <c r="B518" s="7" t="s">
        <v>991</v>
      </c>
      <c r="C518" s="8" t="s">
        <v>992</v>
      </c>
      <c r="D518" s="7" t="str">
        <f>_xlfn.DISPIMG("ID_E6FDE244BB3C4FC4943B60B840406808",1)</f>
        <v>=DISPIMG("ID_E6FDE244BB3C4FC4943B60B840406808",1)</v>
      </c>
      <c r="E518" s="22">
        <v>0.98</v>
      </c>
      <c r="F518" s="7" t="s">
        <v>45</v>
      </c>
      <c r="G518" s="7">
        <v>1</v>
      </c>
      <c r="H518" s="11" t="s">
        <v>13</v>
      </c>
      <c r="I518" s="11" t="s">
        <v>990</v>
      </c>
      <c r="J518" s="5" t="s">
        <v>993</v>
      </c>
    </row>
    <row r="519" hidden="1" customHeight="1" spans="1:10">
      <c r="A519" s="2">
        <v>219</v>
      </c>
      <c r="B519" s="7" t="s">
        <v>994</v>
      </c>
      <c r="C519" s="8" t="s">
        <v>995</v>
      </c>
      <c r="D519" s="7" t="str">
        <f>_xlfn.DISPIMG("ID_E22CA6C1F0BF4673B256E42E91A9115C",1)</f>
        <v>=DISPIMG("ID_E22CA6C1F0BF4673B256E42E91A9115C",1)</v>
      </c>
      <c r="E519" s="22">
        <v>0.97</v>
      </c>
      <c r="F519" s="7" t="s">
        <v>45</v>
      </c>
      <c r="G519" s="7">
        <v>1</v>
      </c>
      <c r="H519" s="11" t="s">
        <v>13</v>
      </c>
      <c r="I519" s="11" t="s">
        <v>990</v>
      </c>
      <c r="J519" s="5" t="s">
        <v>993</v>
      </c>
    </row>
    <row r="520" hidden="1" customHeight="1" spans="1:10">
      <c r="A520" s="2">
        <v>220</v>
      </c>
      <c r="B520" s="7" t="s">
        <v>996</v>
      </c>
      <c r="C520" s="12">
        <v>32912</v>
      </c>
      <c r="D520" s="7" t="str">
        <f>_xlfn.DISPIMG("ID_3963225AFBA647F0973B686890ED700E",1)</f>
        <v>=DISPIMG("ID_3963225AFBA647F0973B686890ED700E",1)</v>
      </c>
      <c r="E520" s="22">
        <v>0.99</v>
      </c>
      <c r="F520" s="7" t="s">
        <v>175</v>
      </c>
      <c r="G520" s="7">
        <v>1</v>
      </c>
      <c r="H520" s="11" t="s">
        <v>13</v>
      </c>
      <c r="I520" s="11" t="s">
        <v>990</v>
      </c>
      <c r="J520" s="5" t="s">
        <v>993</v>
      </c>
    </row>
    <row r="521" hidden="1" customHeight="1" spans="1:10">
      <c r="A521" s="2">
        <v>221</v>
      </c>
      <c r="B521" s="7" t="s">
        <v>997</v>
      </c>
      <c r="C521" s="7" t="s">
        <v>998</v>
      </c>
      <c r="D521" s="7" t="str">
        <f>_xlfn.DISPIMG("ID_42BCE21DE5994FCBB86B43D63279D4CF",1)</f>
        <v>=DISPIMG("ID_42BCE21DE5994FCBB86B43D63279D4CF",1)</v>
      </c>
      <c r="E521" s="22">
        <v>0.99</v>
      </c>
      <c r="F521" s="7" t="s">
        <v>175</v>
      </c>
      <c r="G521" s="7">
        <v>2</v>
      </c>
      <c r="H521" s="11" t="s">
        <v>13</v>
      </c>
      <c r="I521" s="11" t="s">
        <v>990</v>
      </c>
      <c r="J521" s="5" t="s">
        <v>993</v>
      </c>
    </row>
    <row r="522" hidden="1" customHeight="1" spans="1:10">
      <c r="A522" s="2">
        <v>222</v>
      </c>
      <c r="B522" s="6" t="s">
        <v>999</v>
      </c>
      <c r="C522" s="7" t="s">
        <v>989</v>
      </c>
      <c r="D522" s="7" t="str">
        <f>_xlfn.DISPIMG("ID_9FEEA24AFAD44B60992FD79207F1CFCF",1)</f>
        <v>=DISPIMG("ID_9FEEA24AFAD44B60992FD79207F1CFCF",1)</v>
      </c>
      <c r="E522" s="7"/>
      <c r="F522" s="7"/>
      <c r="G522" s="7">
        <v>1</v>
      </c>
      <c r="H522" s="11" t="s">
        <v>13</v>
      </c>
      <c r="I522" s="11" t="s">
        <v>990</v>
      </c>
      <c r="J522" s="5" t="s">
        <v>993</v>
      </c>
    </row>
    <row r="523" hidden="1" customHeight="1" spans="1:10">
      <c r="A523" s="2">
        <v>223</v>
      </c>
      <c r="B523" s="7" t="s">
        <v>1000</v>
      </c>
      <c r="C523" s="7" t="s">
        <v>1001</v>
      </c>
      <c r="D523" s="7" t="str">
        <f>_xlfn.DISPIMG("ID_C15C2F81D3F04B0BAD81F055BF31B5B4",1)</f>
        <v>=DISPIMG("ID_C15C2F81D3F04B0BAD81F055BF31B5B4",1)</v>
      </c>
      <c r="E523" s="7" t="s">
        <v>1002</v>
      </c>
      <c r="F523" s="7" t="s">
        <v>75</v>
      </c>
      <c r="G523" s="7">
        <v>1</v>
      </c>
      <c r="H523" s="11" t="s">
        <v>13</v>
      </c>
      <c r="I523" s="11" t="s">
        <v>990</v>
      </c>
      <c r="J523" s="5" t="s">
        <v>606</v>
      </c>
    </row>
    <row r="524" hidden="1" customHeight="1" spans="1:10">
      <c r="A524" s="2">
        <v>224</v>
      </c>
      <c r="B524" s="7" t="s">
        <v>1003</v>
      </c>
      <c r="C524" s="7" t="s">
        <v>1004</v>
      </c>
      <c r="D524" s="7" t="str">
        <f>_xlfn.DISPIMG("ID_62E0CC7521714FF6947DC1CFFFC67F37",1)</f>
        <v>=DISPIMG("ID_62E0CC7521714FF6947DC1CFFFC67F37",1)</v>
      </c>
      <c r="E524" s="23">
        <v>0.9903</v>
      </c>
      <c r="F524" s="7" t="s">
        <v>23</v>
      </c>
      <c r="G524" s="7">
        <v>1</v>
      </c>
      <c r="H524" s="11" t="s">
        <v>13</v>
      </c>
      <c r="I524" s="11" t="s">
        <v>990</v>
      </c>
      <c r="J524" s="5" t="s">
        <v>993</v>
      </c>
    </row>
    <row r="525" hidden="1" customHeight="1" spans="1:10">
      <c r="A525" s="2">
        <v>225</v>
      </c>
      <c r="B525" s="7" t="s">
        <v>1005</v>
      </c>
      <c r="C525" s="7" t="s">
        <v>1006</v>
      </c>
      <c r="D525" s="7" t="str">
        <f>_xlfn.DISPIMG("ID_029B1E99B4E842C1B142129A4DE81F47",1)</f>
        <v>=DISPIMG("ID_029B1E99B4E842C1B142129A4DE81F47",1)</v>
      </c>
      <c r="E525" s="22">
        <v>0.98</v>
      </c>
      <c r="F525" s="7" t="s">
        <v>50</v>
      </c>
      <c r="G525" s="7">
        <v>1</v>
      </c>
      <c r="H525" s="11" t="s">
        <v>13</v>
      </c>
      <c r="I525" s="11" t="s">
        <v>990</v>
      </c>
      <c r="J525" s="5" t="s">
        <v>993</v>
      </c>
    </row>
    <row r="526" hidden="1" customHeight="1" spans="1:10">
      <c r="A526" s="2">
        <v>226</v>
      </c>
      <c r="B526" s="6" t="s">
        <v>1007</v>
      </c>
      <c r="C526" s="7" t="s">
        <v>1008</v>
      </c>
      <c r="D526" s="7" t="str">
        <f>_xlfn.DISPIMG("ID_20A54B1902BB4290A406C1FE14DA9AB2",1)</f>
        <v>=DISPIMG("ID_20A54B1902BB4290A406C1FE14DA9AB2",1)</v>
      </c>
      <c r="E526" s="22">
        <v>0.98</v>
      </c>
      <c r="F526" s="7" t="s">
        <v>110</v>
      </c>
      <c r="G526" s="7">
        <v>1</v>
      </c>
      <c r="H526" s="11" t="s">
        <v>13</v>
      </c>
      <c r="I526" s="11" t="s">
        <v>990</v>
      </c>
      <c r="J526" s="5" t="s">
        <v>993</v>
      </c>
    </row>
    <row r="527" hidden="1" customHeight="1" spans="1:10">
      <c r="A527" s="2">
        <v>227</v>
      </c>
      <c r="B527" s="7" t="s">
        <v>1009</v>
      </c>
      <c r="C527" s="7" t="s">
        <v>1010</v>
      </c>
      <c r="D527" s="7" t="str">
        <f>_xlfn.DISPIMG("ID_215EA14C5DF341DF8885ACF780EA38D1",1)</f>
        <v>=DISPIMG("ID_215EA14C5DF341DF8885ACF780EA38D1",1)</v>
      </c>
      <c r="E527" s="22">
        <v>0.97</v>
      </c>
      <c r="F527" s="7" t="s">
        <v>50</v>
      </c>
      <c r="G527" s="7">
        <v>2</v>
      </c>
      <c r="H527" s="11" t="s">
        <v>13</v>
      </c>
      <c r="I527" s="11" t="s">
        <v>990</v>
      </c>
      <c r="J527" s="5" t="s">
        <v>993</v>
      </c>
    </row>
    <row r="528" hidden="1" customHeight="1" spans="1:10">
      <c r="A528" s="2">
        <v>228</v>
      </c>
      <c r="B528" s="7" t="s">
        <v>1011</v>
      </c>
      <c r="C528" s="7" t="s">
        <v>1012</v>
      </c>
      <c r="D528" s="7" t="str">
        <f>_xlfn.DISPIMG("ID_BED02009752D47C686D5C4481500D98D",1)</f>
        <v>=DISPIMG("ID_BED02009752D47C686D5C4481500D98D",1)</v>
      </c>
      <c r="E528" s="22">
        <v>0.98</v>
      </c>
      <c r="F528" s="7" t="s">
        <v>50</v>
      </c>
      <c r="G528" s="7">
        <v>1</v>
      </c>
      <c r="H528" s="11" t="s">
        <v>13</v>
      </c>
      <c r="I528" s="11" t="s">
        <v>990</v>
      </c>
      <c r="J528" s="5" t="s">
        <v>993</v>
      </c>
    </row>
    <row r="529" hidden="1" customHeight="1" spans="1:10">
      <c r="A529" s="2">
        <v>229</v>
      </c>
      <c r="B529" s="7" t="s">
        <v>1013</v>
      </c>
      <c r="C529" s="7" t="s">
        <v>1014</v>
      </c>
      <c r="D529" s="7" t="str">
        <f>_xlfn.DISPIMG("ID_B77A6A450A4647F0938600888F018CB7",1)</f>
        <v>=DISPIMG("ID_B77A6A450A4647F0938600888F018CB7",1)</v>
      </c>
      <c r="E529" s="22">
        <v>0.97</v>
      </c>
      <c r="F529" s="7" t="s">
        <v>75</v>
      </c>
      <c r="G529" s="7">
        <v>1</v>
      </c>
      <c r="H529" s="11" t="s">
        <v>13</v>
      </c>
      <c r="I529" s="11" t="s">
        <v>990</v>
      </c>
      <c r="J529" s="5" t="s">
        <v>993</v>
      </c>
    </row>
    <row r="530" hidden="1" customHeight="1" spans="1:10">
      <c r="A530" s="2">
        <v>230</v>
      </c>
      <c r="B530" s="7" t="s">
        <v>1015</v>
      </c>
      <c r="C530" s="7" t="s">
        <v>1016</v>
      </c>
      <c r="D530" s="7" t="str">
        <f>_xlfn.DISPIMG("ID_A0DF4347B24F4FF0BCE4F3740D143125",1)</f>
        <v>=DISPIMG("ID_A0DF4347B24F4FF0BCE4F3740D143125",1)</v>
      </c>
      <c r="E530" s="22">
        <v>0.98</v>
      </c>
      <c r="F530" s="7" t="s">
        <v>45</v>
      </c>
      <c r="G530" s="7">
        <v>1</v>
      </c>
      <c r="H530" s="11" t="s">
        <v>13</v>
      </c>
      <c r="I530" s="11" t="s">
        <v>990</v>
      </c>
      <c r="J530" s="5" t="s">
        <v>993</v>
      </c>
    </row>
    <row r="531" hidden="1" customHeight="1" spans="1:10">
      <c r="A531" s="2">
        <v>231</v>
      </c>
      <c r="B531" s="11" t="s">
        <v>1017</v>
      </c>
      <c r="C531" s="7" t="s">
        <v>1018</v>
      </c>
      <c r="D531" s="7" t="str">
        <f>_xlfn.DISPIMG("ID_433E2951C9B047B3B16C77C9FB710DAA",1)</f>
        <v>=DISPIMG("ID_433E2951C9B047B3B16C77C9FB710DAA",1)</v>
      </c>
      <c r="E531" s="23">
        <v>0.98</v>
      </c>
      <c r="F531" s="7" t="s">
        <v>50</v>
      </c>
      <c r="G531" s="7">
        <v>1</v>
      </c>
      <c r="H531" s="11" t="s">
        <v>13</v>
      </c>
      <c r="I531" s="11" t="s">
        <v>990</v>
      </c>
      <c r="J531" s="5" t="s">
        <v>993</v>
      </c>
    </row>
    <row r="532" hidden="1" customHeight="1" spans="1:10">
      <c r="A532" s="2">
        <v>232</v>
      </c>
      <c r="B532" s="11" t="s">
        <v>1019</v>
      </c>
      <c r="C532" s="7" t="s">
        <v>1020</v>
      </c>
      <c r="D532" s="7" t="str">
        <f>_xlfn.DISPIMG("ID_CB69F445EA3A46BBBEBBE9E217791437",1)</f>
        <v>=DISPIMG("ID_CB69F445EA3A46BBBEBBE9E217791437",1)</v>
      </c>
      <c r="E532" s="23">
        <v>0.99</v>
      </c>
      <c r="F532" s="7" t="s">
        <v>175</v>
      </c>
      <c r="G532" s="7">
        <v>1</v>
      </c>
      <c r="H532" s="11" t="s">
        <v>13</v>
      </c>
      <c r="I532" s="11" t="s">
        <v>990</v>
      </c>
      <c r="J532" s="5" t="s">
        <v>993</v>
      </c>
    </row>
    <row r="533" hidden="1" customHeight="1" spans="1:10">
      <c r="A533" s="2">
        <v>233</v>
      </c>
      <c r="B533" s="11" t="s">
        <v>1021</v>
      </c>
      <c r="C533" s="18" t="s">
        <v>1022</v>
      </c>
      <c r="D533" s="7" t="str">
        <f>_xlfn.DISPIMG("ID_5CBA941F17A24B5BA6106624E4E0C5E0",1)</f>
        <v>=DISPIMG("ID_5CBA941F17A24B5BA6106624E4E0C5E0",1)</v>
      </c>
      <c r="E533" s="7"/>
      <c r="F533" s="7" t="s">
        <v>50</v>
      </c>
      <c r="G533" s="7">
        <v>1</v>
      </c>
      <c r="H533" s="11" t="s">
        <v>13</v>
      </c>
      <c r="I533" s="11" t="s">
        <v>990</v>
      </c>
      <c r="J533" s="5" t="s">
        <v>993</v>
      </c>
    </row>
    <row r="534" hidden="1" customHeight="1" spans="1:10">
      <c r="A534" s="2">
        <v>234</v>
      </c>
      <c r="B534" s="11" t="s">
        <v>1023</v>
      </c>
      <c r="C534" s="7" t="s">
        <v>1024</v>
      </c>
      <c r="D534" s="7" t="str">
        <f>_xlfn.DISPIMG("ID_C4349AA59A7142DAB694F9E84637B12E",1)</f>
        <v>=DISPIMG("ID_C4349AA59A7142DAB694F9E84637B12E",1)</v>
      </c>
      <c r="E534" s="22">
        <v>0.98</v>
      </c>
      <c r="F534" s="7" t="s">
        <v>23</v>
      </c>
      <c r="G534" s="7">
        <v>1</v>
      </c>
      <c r="H534" s="11" t="s">
        <v>13</v>
      </c>
      <c r="I534" s="11" t="s">
        <v>990</v>
      </c>
      <c r="J534" s="5" t="s">
        <v>993</v>
      </c>
    </row>
    <row r="535" hidden="1" customHeight="1" spans="1:10">
      <c r="A535" s="2">
        <v>551</v>
      </c>
      <c r="B535" s="7" t="s">
        <v>1025</v>
      </c>
      <c r="C535" s="7" t="s">
        <v>1026</v>
      </c>
      <c r="D535" s="7" t="str">
        <f>_xlfn.DISPIMG("ID_2D1A7123F1954634BC29DD1E8C556D93",1)</f>
        <v>=DISPIMG("ID_2D1A7123F1954634BC29DD1E8C556D93",1)</v>
      </c>
      <c r="E535" s="7"/>
      <c r="F535" s="7" t="s">
        <v>23</v>
      </c>
      <c r="G535" s="7">
        <v>1</v>
      </c>
      <c r="H535" s="11" t="s">
        <v>13</v>
      </c>
      <c r="I535" s="11" t="s">
        <v>990</v>
      </c>
      <c r="J535" s="11" t="s">
        <v>196</v>
      </c>
    </row>
    <row r="536" hidden="1" customHeight="1" spans="1:10">
      <c r="A536" s="2">
        <v>552</v>
      </c>
      <c r="B536" s="7" t="s">
        <v>1027</v>
      </c>
      <c r="C536" s="7" t="s">
        <v>1028</v>
      </c>
      <c r="D536" s="7" t="str">
        <f>_xlfn.DISPIMG("ID_211E7855BA7C4A5097E7095341F19AD0",1)</f>
        <v>=DISPIMG("ID_211E7855BA7C4A5097E7095341F19AD0",1)</v>
      </c>
      <c r="E536" s="22">
        <v>0.98</v>
      </c>
      <c r="F536" s="7" t="s">
        <v>45</v>
      </c>
      <c r="G536" s="7">
        <v>1</v>
      </c>
      <c r="H536" s="11" t="s">
        <v>13</v>
      </c>
      <c r="I536" s="11" t="s">
        <v>990</v>
      </c>
      <c r="J536" s="11" t="s">
        <v>196</v>
      </c>
    </row>
    <row r="537" hidden="1" customHeight="1" spans="1:10">
      <c r="A537" s="2">
        <v>553</v>
      </c>
      <c r="B537" s="7" t="s">
        <v>1029</v>
      </c>
      <c r="C537" s="7" t="s">
        <v>1030</v>
      </c>
      <c r="D537" s="7" t="str">
        <f>_xlfn.DISPIMG("ID_CF00EF7045684A22923F7C460A71268B",1)</f>
        <v>=DISPIMG("ID_CF00EF7045684A22923F7C460A71268B",1)</v>
      </c>
      <c r="E537" s="22">
        <v>0.98</v>
      </c>
      <c r="F537" s="7" t="s">
        <v>45</v>
      </c>
      <c r="G537" s="7">
        <v>1</v>
      </c>
      <c r="H537" s="11" t="s">
        <v>13</v>
      </c>
      <c r="I537" s="11" t="s">
        <v>990</v>
      </c>
      <c r="J537" s="11" t="s">
        <v>196</v>
      </c>
    </row>
    <row r="538" hidden="1" customHeight="1" spans="1:10">
      <c r="A538" s="2">
        <v>582</v>
      </c>
      <c r="B538" s="47" t="s">
        <v>1031</v>
      </c>
      <c r="C538" s="5" t="s">
        <v>1032</v>
      </c>
      <c r="D538" s="26" t="str">
        <f>_xlfn.DISPIMG("ID_46F1983C397A4FD6BFF180E27E0A8A05",1)</f>
        <v>=DISPIMG("ID_46F1983C397A4FD6BFF180E27E0A8A05",1)</v>
      </c>
      <c r="E538" s="26"/>
      <c r="F538" s="5" t="s">
        <v>45</v>
      </c>
      <c r="G538" s="26">
        <v>1</v>
      </c>
      <c r="H538" s="5" t="s">
        <v>13</v>
      </c>
      <c r="I538" s="5" t="s">
        <v>990</v>
      </c>
      <c r="J538" s="5" t="s">
        <v>213</v>
      </c>
    </row>
    <row r="539" hidden="1" customHeight="1" spans="1:10">
      <c r="A539" s="2">
        <v>585</v>
      </c>
      <c r="B539" s="11" t="s">
        <v>1033</v>
      </c>
      <c r="C539" s="11" t="s">
        <v>1034</v>
      </c>
      <c r="D539" s="7" t="str">
        <f>_xlfn.DISPIMG("ID_5E548517A81747188C1F29F05BA21B3E",1)</f>
        <v>=DISPIMG("ID_5E548517A81747188C1F29F05BA21B3E",1)</v>
      </c>
      <c r="E539" s="22">
        <v>0.98</v>
      </c>
      <c r="F539" s="11" t="s">
        <v>23</v>
      </c>
      <c r="G539" s="7">
        <v>1</v>
      </c>
      <c r="H539" s="11" t="s">
        <v>13</v>
      </c>
      <c r="I539" s="11" t="s">
        <v>990</v>
      </c>
      <c r="J539" s="11" t="s">
        <v>221</v>
      </c>
    </row>
    <row r="540" hidden="1" customHeight="1" spans="1:10">
      <c r="A540" s="2">
        <v>590</v>
      </c>
      <c r="B540" s="7" t="s">
        <v>1035</v>
      </c>
      <c r="C540" s="7" t="s">
        <v>1036</v>
      </c>
      <c r="D540" s="7" t="str">
        <f>_xlfn.DISPIMG("ID_FCAC800B20CD421A93879EAD6F7C0A9E",1)</f>
        <v>=DISPIMG("ID_FCAC800B20CD421A93879EAD6F7C0A9E",1)</v>
      </c>
      <c r="E540" s="22">
        <v>0.98</v>
      </c>
      <c r="F540" s="7" t="s">
        <v>23</v>
      </c>
      <c r="G540" s="7">
        <v>1</v>
      </c>
      <c r="H540" s="11" t="s">
        <v>13</v>
      </c>
      <c r="I540" s="11" t="s">
        <v>990</v>
      </c>
      <c r="J540" s="11" t="s">
        <v>221</v>
      </c>
    </row>
    <row r="541" hidden="1" customHeight="1" spans="1:10">
      <c r="A541" s="2">
        <v>591</v>
      </c>
      <c r="B541" s="7" t="s">
        <v>1035</v>
      </c>
      <c r="C541" s="7" t="s">
        <v>1036</v>
      </c>
      <c r="D541" s="7" t="str">
        <f>_xlfn.DISPIMG("ID_84D07420AF0A40B895488A5492D70A87",1)</f>
        <v>=DISPIMG("ID_84D07420AF0A40B895488A5492D70A87",1)</v>
      </c>
      <c r="E541" s="22">
        <v>0.98</v>
      </c>
      <c r="F541" s="7" t="s">
        <v>45</v>
      </c>
      <c r="G541" s="7">
        <v>1</v>
      </c>
      <c r="H541" s="11" t="s">
        <v>13</v>
      </c>
      <c r="I541" s="11" t="s">
        <v>990</v>
      </c>
      <c r="J541" s="11" t="s">
        <v>221</v>
      </c>
    </row>
    <row r="542" hidden="1" customHeight="1" spans="1:10">
      <c r="A542" s="2">
        <v>592</v>
      </c>
      <c r="B542" s="7" t="s">
        <v>1035</v>
      </c>
      <c r="C542" s="7" t="s">
        <v>1036</v>
      </c>
      <c r="D542" s="7" t="str">
        <f>_xlfn.DISPIMG("ID_06F674CB1F474985847853D8B684726C",1)</f>
        <v>=DISPIMG("ID_06F674CB1F474985847853D8B684726C",1)</v>
      </c>
      <c r="E542" s="22">
        <v>0.98</v>
      </c>
      <c r="F542" s="7" t="s">
        <v>27</v>
      </c>
      <c r="G542" s="7">
        <v>1</v>
      </c>
      <c r="H542" s="11" t="s">
        <v>13</v>
      </c>
      <c r="I542" s="11" t="s">
        <v>990</v>
      </c>
      <c r="J542" s="11" t="s">
        <v>221</v>
      </c>
    </row>
    <row r="543" hidden="1" customHeight="1" spans="1:10">
      <c r="A543" s="2">
        <v>593</v>
      </c>
      <c r="B543" s="7" t="s">
        <v>1037</v>
      </c>
      <c r="C543" s="7" t="s">
        <v>1038</v>
      </c>
      <c r="D543" s="7" t="str">
        <f>_xlfn.DISPIMG("ID_580C7A82DED4496896AE9A54DC470556",1)</f>
        <v>=DISPIMG("ID_580C7A82DED4496896AE9A54DC470556",1)</v>
      </c>
      <c r="E543" s="22">
        <v>0.97</v>
      </c>
      <c r="F543" s="7" t="s">
        <v>45</v>
      </c>
      <c r="G543" s="7">
        <v>1</v>
      </c>
      <c r="H543" s="11" t="s">
        <v>13</v>
      </c>
      <c r="I543" s="11" t="s">
        <v>990</v>
      </c>
      <c r="J543" s="11" t="s">
        <v>221</v>
      </c>
    </row>
    <row r="544" hidden="1" customHeight="1" spans="1:10">
      <c r="A544" s="2">
        <v>594</v>
      </c>
      <c r="B544" s="7" t="s">
        <v>1039</v>
      </c>
      <c r="C544" s="7" t="s">
        <v>1040</v>
      </c>
      <c r="D544" s="7" t="str">
        <f>_xlfn.DISPIMG("ID_D1FE176EBB64400BB1C3526E3CA88D36",1)</f>
        <v>=DISPIMG("ID_D1FE176EBB64400BB1C3526E3CA88D36",1)</v>
      </c>
      <c r="E544" s="22">
        <v>0.98</v>
      </c>
      <c r="F544" s="7" t="s">
        <v>23</v>
      </c>
      <c r="G544" s="7">
        <v>1</v>
      </c>
      <c r="H544" s="11" t="s">
        <v>13</v>
      </c>
      <c r="I544" s="11" t="s">
        <v>990</v>
      </c>
      <c r="J544" s="11" t="s">
        <v>221</v>
      </c>
    </row>
    <row r="545" hidden="1" customHeight="1" spans="1:10">
      <c r="A545" s="2">
        <v>595</v>
      </c>
      <c r="B545" s="7" t="s">
        <v>1041</v>
      </c>
      <c r="C545" s="7" t="s">
        <v>1042</v>
      </c>
      <c r="D545" s="7" t="str">
        <f>_xlfn.DISPIMG("ID_3E15E7691C9C4E68874B37C84F6C2DEC",1)</f>
        <v>=DISPIMG("ID_3E15E7691C9C4E68874B37C84F6C2DEC",1)</v>
      </c>
      <c r="E545" s="22">
        <v>0.98</v>
      </c>
      <c r="F545" s="7" t="s">
        <v>23</v>
      </c>
      <c r="G545" s="7">
        <v>1</v>
      </c>
      <c r="H545" s="11" t="s">
        <v>13</v>
      </c>
      <c r="I545" s="11" t="s">
        <v>990</v>
      </c>
      <c r="J545" s="11" t="s">
        <v>221</v>
      </c>
    </row>
    <row r="546" hidden="1" customHeight="1" spans="1:10">
      <c r="A546" s="2">
        <v>596</v>
      </c>
      <c r="B546" s="7" t="s">
        <v>1043</v>
      </c>
      <c r="C546" s="12">
        <v>35796</v>
      </c>
      <c r="D546" s="7" t="str">
        <f>_xlfn.DISPIMG("ID_825FC1F3EE394CE096AD5C0F86CD5D54",1)</f>
        <v>=DISPIMG("ID_825FC1F3EE394CE096AD5C0F86CD5D54",1)</v>
      </c>
      <c r="E546" s="22">
        <v>0.99</v>
      </c>
      <c r="F546" s="7" t="s">
        <v>45</v>
      </c>
      <c r="G546" s="7">
        <v>1</v>
      </c>
      <c r="H546" s="11" t="s">
        <v>13</v>
      </c>
      <c r="I546" s="11" t="s">
        <v>990</v>
      </c>
      <c r="J546" s="11" t="s">
        <v>221</v>
      </c>
    </row>
    <row r="547" hidden="1" customHeight="1" spans="1:10">
      <c r="A547" s="2">
        <v>597</v>
      </c>
      <c r="B547" s="7" t="s">
        <v>1044</v>
      </c>
      <c r="C547" s="7" t="s">
        <v>998</v>
      </c>
      <c r="D547" s="7" t="str">
        <f>_xlfn.DISPIMG("ID_853952D3BB03493093EAF27D65385D6D",1)</f>
        <v>=DISPIMG("ID_853952D3BB03493093EAF27D65385D6D",1)</v>
      </c>
      <c r="E547" s="22">
        <v>0.99</v>
      </c>
      <c r="F547" s="7" t="s">
        <v>75</v>
      </c>
      <c r="G547" s="7">
        <v>1</v>
      </c>
      <c r="H547" s="11" t="s">
        <v>13</v>
      </c>
      <c r="I547" s="11" t="s">
        <v>990</v>
      </c>
      <c r="J547" s="11" t="s">
        <v>221</v>
      </c>
    </row>
    <row r="548" hidden="1" customHeight="1" spans="1:10">
      <c r="A548" s="2">
        <v>598</v>
      </c>
      <c r="B548" s="7" t="s">
        <v>1013</v>
      </c>
      <c r="C548" s="7" t="s">
        <v>1014</v>
      </c>
      <c r="D548" s="7" t="str">
        <f>_xlfn.DISPIMG("ID_9E1A42111E8D4115996D7BA8DDD03F58",1)</f>
        <v>=DISPIMG("ID_9E1A42111E8D4115996D7BA8DDD03F58",1)</v>
      </c>
      <c r="E548" s="22">
        <v>0.98</v>
      </c>
      <c r="F548" s="7" t="s">
        <v>45</v>
      </c>
      <c r="G548" s="7">
        <v>1</v>
      </c>
      <c r="H548" s="11" t="s">
        <v>13</v>
      </c>
      <c r="I548" s="11" t="s">
        <v>990</v>
      </c>
      <c r="J548" s="11" t="s">
        <v>221</v>
      </c>
    </row>
    <row r="549" hidden="1" customHeight="1" spans="1:10">
      <c r="A549" s="2">
        <v>599</v>
      </c>
      <c r="B549" s="11" t="s">
        <v>1045</v>
      </c>
      <c r="C549" s="7" t="s">
        <v>1046</v>
      </c>
      <c r="D549" s="7" t="str">
        <f>_xlfn.DISPIMG("ID_EE4FA053769D4E8D9307DED3CFE8F07A",1)</f>
        <v>=DISPIMG("ID_EE4FA053769D4E8D9307DED3CFE8F07A",1)</v>
      </c>
      <c r="E549" s="22">
        <v>0.99</v>
      </c>
      <c r="F549" s="7" t="s">
        <v>23</v>
      </c>
      <c r="G549" s="7">
        <v>1</v>
      </c>
      <c r="H549" s="11" t="s">
        <v>13</v>
      </c>
      <c r="I549" s="11" t="s">
        <v>990</v>
      </c>
      <c r="J549" s="11" t="s">
        <v>221</v>
      </c>
    </row>
    <row r="550" hidden="1" customHeight="1" spans="1:10">
      <c r="A550" s="2">
        <v>625</v>
      </c>
      <c r="B550" s="7" t="s">
        <v>1043</v>
      </c>
      <c r="C550" s="12">
        <v>35796</v>
      </c>
      <c r="D550" s="7" t="str">
        <f>_xlfn.DISPIMG("ID_FB676958E718414CB71D151A20013BFC",1)</f>
        <v>=DISPIMG("ID_FB676958E718414CB71D151A20013BFC",1)</v>
      </c>
      <c r="E550" s="7" t="s">
        <v>1047</v>
      </c>
      <c r="F550" s="7" t="s">
        <v>124</v>
      </c>
      <c r="G550" s="7">
        <v>1</v>
      </c>
      <c r="H550" s="11" t="s">
        <v>13</v>
      </c>
      <c r="I550" s="11" t="s">
        <v>990</v>
      </c>
      <c r="J550" s="11" t="s">
        <v>222</v>
      </c>
    </row>
    <row r="551" hidden="1" customHeight="1" spans="1:10">
      <c r="A551" s="2">
        <v>626</v>
      </c>
      <c r="B551" s="7" t="s">
        <v>1048</v>
      </c>
      <c r="C551" s="12">
        <v>35857</v>
      </c>
      <c r="D551" s="7" t="str">
        <f>_xlfn.DISPIMG("ID_29FDFBDCFC3B4EF6BF2C20BCC6FF0459",1)</f>
        <v>=DISPIMG("ID_29FDFBDCFC3B4EF6BF2C20BCC6FF0459",1)</v>
      </c>
      <c r="E551" s="22">
        <v>0.98</v>
      </c>
      <c r="F551" s="7" t="s">
        <v>50</v>
      </c>
      <c r="G551" s="7">
        <v>1</v>
      </c>
      <c r="H551" s="11" t="s">
        <v>13</v>
      </c>
      <c r="I551" s="11" t="s">
        <v>990</v>
      </c>
      <c r="J551" s="11" t="s">
        <v>222</v>
      </c>
    </row>
    <row r="552" hidden="1" customHeight="1" spans="1:10">
      <c r="A552" s="2">
        <v>627</v>
      </c>
      <c r="B552" s="7" t="s">
        <v>1049</v>
      </c>
      <c r="C552" s="12">
        <v>35857</v>
      </c>
      <c r="D552" s="7" t="str">
        <f>_xlfn.DISPIMG("ID_21309D1D872D4AEEA56AAAF983271B8E",1)</f>
        <v>=DISPIMG("ID_21309D1D872D4AEEA56AAAF983271B8E",1)</v>
      </c>
      <c r="E552" s="22">
        <v>0.98</v>
      </c>
      <c r="F552" s="7" t="s">
        <v>75</v>
      </c>
      <c r="G552" s="7">
        <v>1</v>
      </c>
      <c r="H552" s="11" t="s">
        <v>13</v>
      </c>
      <c r="I552" s="11" t="s">
        <v>990</v>
      </c>
      <c r="J552" s="11" t="s">
        <v>222</v>
      </c>
    </row>
    <row r="553" hidden="1" customHeight="1" spans="1:10">
      <c r="A553" s="2">
        <v>631</v>
      </c>
      <c r="B553" s="5" t="s">
        <v>1050</v>
      </c>
      <c r="C553" s="48" t="s">
        <v>1051</v>
      </c>
      <c r="D553" s="26" t="str">
        <f>_xlfn.DISPIMG("ID_88DFCE459E0949498855A37AAAC9E48D",1)</f>
        <v>=DISPIMG("ID_88DFCE459E0949498855A37AAAC9E48D",1)</v>
      </c>
      <c r="E553" s="22">
        <v>0.98</v>
      </c>
      <c r="F553" s="5" t="s">
        <v>45</v>
      </c>
      <c r="G553" s="26">
        <v>1</v>
      </c>
      <c r="H553" s="5" t="s">
        <v>13</v>
      </c>
      <c r="I553" s="11" t="s">
        <v>990</v>
      </c>
      <c r="J553" s="5" t="s">
        <v>222</v>
      </c>
    </row>
    <row r="554" hidden="1" customHeight="1" spans="1:10">
      <c r="A554" s="2">
        <v>639</v>
      </c>
      <c r="B554" s="7" t="s">
        <v>1052</v>
      </c>
      <c r="C554" s="15" t="s">
        <v>1053</v>
      </c>
      <c r="D554" s="7" t="str">
        <f>_xlfn.DISPIMG("ID_68A825F8DA4F4BDF9500EC58B04EC10C",1)</f>
        <v>=DISPIMG("ID_68A825F8DA4F4BDF9500EC58B04EC10C",1)</v>
      </c>
      <c r="E554" s="22">
        <v>0.97</v>
      </c>
      <c r="F554" s="7" t="s">
        <v>27</v>
      </c>
      <c r="G554" s="7">
        <v>1</v>
      </c>
      <c r="H554" s="11" t="s">
        <v>13</v>
      </c>
      <c r="I554" s="11" t="s">
        <v>990</v>
      </c>
      <c r="J554" s="11" t="s">
        <v>225</v>
      </c>
    </row>
    <row r="555" hidden="1" customHeight="1" spans="1:10">
      <c r="A555" s="2">
        <v>667</v>
      </c>
      <c r="B555" s="5" t="s">
        <v>1054</v>
      </c>
      <c r="C555" s="5" t="s">
        <v>1055</v>
      </c>
      <c r="D555" s="26" t="str">
        <f>_xlfn.DISPIMG("ID_B366BD26FB0E446EA48E1BAC64066872",1)</f>
        <v>=DISPIMG("ID_B366BD26FB0E446EA48E1BAC64066872",1)</v>
      </c>
      <c r="E555" s="26"/>
      <c r="F555" s="5" t="s">
        <v>45</v>
      </c>
      <c r="G555" s="26">
        <v>1</v>
      </c>
      <c r="H555" s="5" t="s">
        <v>13</v>
      </c>
      <c r="I555" s="11" t="s">
        <v>990</v>
      </c>
      <c r="J555" s="5" t="s">
        <v>225</v>
      </c>
    </row>
    <row r="556" hidden="1" customHeight="1" spans="2:10">
      <c r="B556" s="32" t="s">
        <v>1056</v>
      </c>
      <c r="C556" s="31" t="s">
        <v>1001</v>
      </c>
      <c r="D556" s="31" t="e">
        <f>_xlfn.DISPIMG("ID_79CF5C102FDB43F29BCAD18C2292F105",1)</f>
        <v>#REF!</v>
      </c>
      <c r="E556" s="35">
        <v>0.97</v>
      </c>
      <c r="F556" s="31" t="s">
        <v>45</v>
      </c>
      <c r="G556" s="31">
        <v>2</v>
      </c>
      <c r="H556" s="36" t="s">
        <v>272</v>
      </c>
      <c r="I556" s="32" t="s">
        <v>1057</v>
      </c>
      <c r="J556" s="31" t="s">
        <v>280</v>
      </c>
    </row>
    <row r="557" hidden="1" customHeight="1" spans="2:10">
      <c r="B557" s="31" t="s">
        <v>1058</v>
      </c>
      <c r="C557" s="31" t="s">
        <v>1032</v>
      </c>
      <c r="D557" s="30" t="e">
        <f>_xlfn.DISPIMG("ID_00B953C3BF024EB4A40031A5D4AABD5F",1)</f>
        <v>#REF!</v>
      </c>
      <c r="E557" s="35">
        <v>0.99</v>
      </c>
      <c r="F557" s="31" t="s">
        <v>45</v>
      </c>
      <c r="G557" s="31">
        <v>1</v>
      </c>
      <c r="H557" s="36" t="s">
        <v>272</v>
      </c>
      <c r="I557" s="32" t="s">
        <v>1057</v>
      </c>
      <c r="J557" s="31" t="s">
        <v>280</v>
      </c>
    </row>
    <row r="558" hidden="1" customHeight="1" spans="2:10">
      <c r="B558" s="31" t="s">
        <v>1059</v>
      </c>
      <c r="C558" s="31" t="s">
        <v>1034</v>
      </c>
      <c r="D558" s="30" t="e">
        <f>_xlfn.DISPIMG("ID_B747214E9DA1441DBF05F408AA45880A",1)</f>
        <v>#REF!</v>
      </c>
      <c r="E558" s="35">
        <v>0.98</v>
      </c>
      <c r="F558" s="31" t="s">
        <v>23</v>
      </c>
      <c r="G558" s="31">
        <v>1</v>
      </c>
      <c r="H558" s="36" t="s">
        <v>272</v>
      </c>
      <c r="I558" s="32" t="s">
        <v>1057</v>
      </c>
      <c r="J558" s="31" t="s">
        <v>280</v>
      </c>
    </row>
    <row r="559" hidden="1" customHeight="1" spans="2:10">
      <c r="B559" s="32" t="s">
        <v>1060</v>
      </c>
      <c r="C559" s="31" t="s">
        <v>943</v>
      </c>
      <c r="D559" s="31" t="str">
        <f>_xlfn.DISPIMG("ID_CDDB5D935DD5491E845E9F236EAFBE90",1)</f>
        <v>=DISPIMG("ID_CDDB5D935DD5491E845E9F236EAFBE90",1)</v>
      </c>
      <c r="E559" s="31" t="s">
        <v>1061</v>
      </c>
      <c r="F559" s="31" t="s">
        <v>50</v>
      </c>
      <c r="G559" s="31">
        <v>1</v>
      </c>
      <c r="H559" s="36" t="s">
        <v>272</v>
      </c>
      <c r="I559" s="32" t="s">
        <v>1057</v>
      </c>
      <c r="J559" s="31" t="s">
        <v>308</v>
      </c>
    </row>
    <row r="560" hidden="1" customHeight="1" spans="2:10">
      <c r="B560" s="60" t="s">
        <v>1062</v>
      </c>
      <c r="C560" s="61" t="s">
        <v>1063</v>
      </c>
      <c r="D560" s="61" t="str">
        <f>_xlfn.DISPIMG("ID_E7149C05E737467AAF05EC17C2185880",1)</f>
        <v>=DISPIMG("ID_E7149C05E737467AAF05EC17C2185880",1)</v>
      </c>
      <c r="E560" s="61"/>
      <c r="F560" s="61" t="s">
        <v>12</v>
      </c>
      <c r="G560" s="61">
        <v>1</v>
      </c>
      <c r="H560" s="75" t="s">
        <v>272</v>
      </c>
      <c r="I560" s="60" t="s">
        <v>1057</v>
      </c>
      <c r="J560" s="61" t="s">
        <v>305</v>
      </c>
    </row>
    <row r="561" hidden="1" customHeight="1" spans="2:10">
      <c r="B561" s="62" t="s">
        <v>1064</v>
      </c>
      <c r="C561" s="63" t="s">
        <v>1038</v>
      </c>
      <c r="D561" s="64" t="e">
        <f>_xlfn.DISPIMG("ID_2F15A87C502B44EA8BA5702FFBEFE61E",1)</f>
        <v>#REF!</v>
      </c>
      <c r="E561" s="76">
        <v>0.98</v>
      </c>
      <c r="F561" s="63" t="s">
        <v>27</v>
      </c>
      <c r="G561" s="63">
        <v>1</v>
      </c>
      <c r="H561" s="75" t="s">
        <v>272</v>
      </c>
      <c r="I561" s="32" t="s">
        <v>1057</v>
      </c>
      <c r="J561" s="63" t="s">
        <v>305</v>
      </c>
    </row>
    <row r="562" hidden="1" customHeight="1" spans="2:10">
      <c r="B562" s="62" t="s">
        <v>1065</v>
      </c>
      <c r="C562" s="65" t="s">
        <v>1066</v>
      </c>
      <c r="D562" s="66" t="e">
        <f>_xlfn.DISPIMG("ID_A67C622FD53E42CD8EECB246B7B79130",1)</f>
        <v>#REF!</v>
      </c>
      <c r="E562" s="77">
        <v>0.995</v>
      </c>
      <c r="F562" s="63" t="s">
        <v>124</v>
      </c>
      <c r="G562" s="63">
        <v>1</v>
      </c>
      <c r="H562" s="75" t="s">
        <v>272</v>
      </c>
      <c r="I562" s="32" t="s">
        <v>1057</v>
      </c>
      <c r="J562" s="63" t="s">
        <v>305</v>
      </c>
    </row>
    <row r="563" hidden="1" customHeight="1" spans="2:10">
      <c r="B563" s="62" t="s">
        <v>1067</v>
      </c>
      <c r="C563" s="63" t="s">
        <v>1068</v>
      </c>
      <c r="D563" s="64" t="str">
        <f>_xlfn.DISPIMG("ID_3C00E7EEC02F4E8DAFF0B3100F09859A",1)</f>
        <v>=DISPIMG("ID_3C00E7EEC02F4E8DAFF0B3100F09859A",1)</v>
      </c>
      <c r="E563" s="76">
        <v>0.97</v>
      </c>
      <c r="F563" s="63" t="s">
        <v>175</v>
      </c>
      <c r="G563" s="63">
        <v>1</v>
      </c>
      <c r="H563" s="75" t="s">
        <v>272</v>
      </c>
      <c r="I563" s="32" t="s">
        <v>1057</v>
      </c>
      <c r="J563" s="63" t="s">
        <v>305</v>
      </c>
    </row>
    <row r="564" hidden="1" customHeight="1" spans="2:10">
      <c r="B564" s="62" t="s">
        <v>1069</v>
      </c>
      <c r="C564" s="63" t="s">
        <v>1070</v>
      </c>
      <c r="D564" s="63" t="e">
        <f>_xlfn.DISPIMG("ID_92DB19A31D704A6C978F80ACEB04EE81",1)</f>
        <v>#REF!</v>
      </c>
      <c r="E564" s="63"/>
      <c r="F564" s="63"/>
      <c r="G564" s="63">
        <v>1</v>
      </c>
      <c r="H564" s="78" t="s">
        <v>272</v>
      </c>
      <c r="I564" s="32" t="s">
        <v>1057</v>
      </c>
      <c r="J564" s="63" t="s">
        <v>316</v>
      </c>
    </row>
    <row r="565" hidden="1" customHeight="1" spans="2:10">
      <c r="B565" s="62" t="s">
        <v>1071</v>
      </c>
      <c r="C565" s="63" t="s">
        <v>1072</v>
      </c>
      <c r="D565" s="63" t="e">
        <f>_xlfn.DISPIMG("ID_7D377669B7464A43B5B7D11A64D75C0C",1)</f>
        <v>#REF!</v>
      </c>
      <c r="E565" s="76">
        <v>0.98</v>
      </c>
      <c r="F565" s="63" t="s">
        <v>45</v>
      </c>
      <c r="G565" s="63">
        <v>1</v>
      </c>
      <c r="H565" s="78" t="s">
        <v>272</v>
      </c>
      <c r="I565" s="62" t="s">
        <v>1057</v>
      </c>
      <c r="J565" s="63" t="s">
        <v>316</v>
      </c>
    </row>
    <row r="566" hidden="1" customHeight="1" spans="2:10">
      <c r="B566" s="62" t="s">
        <v>1073</v>
      </c>
      <c r="C566" s="63" t="s">
        <v>1074</v>
      </c>
      <c r="D566" s="63" t="e">
        <f>_xlfn.DISPIMG("ID_CFF9DF5BE1F246768F6C91E38A975785",1)</f>
        <v>#REF!</v>
      </c>
      <c r="E566" s="76">
        <v>0.97</v>
      </c>
      <c r="F566" s="63" t="s">
        <v>75</v>
      </c>
      <c r="G566" s="63">
        <v>1</v>
      </c>
      <c r="H566" s="78" t="s">
        <v>272</v>
      </c>
      <c r="I566" s="62" t="s">
        <v>1075</v>
      </c>
      <c r="J566" s="63" t="s">
        <v>280</v>
      </c>
    </row>
    <row r="567" hidden="1" customHeight="1" spans="2:10">
      <c r="B567" s="31" t="s">
        <v>1076</v>
      </c>
      <c r="C567" s="31" t="s">
        <v>393</v>
      </c>
      <c r="D567" s="31" t="e">
        <f>_xlfn.DISPIMG("ID_34BAD7718978482CBC1FAD19F23AC9F5",1)</f>
        <v>#REF!</v>
      </c>
      <c r="E567" s="35">
        <v>0.98</v>
      </c>
      <c r="F567" s="31" t="s">
        <v>23</v>
      </c>
      <c r="G567" s="31">
        <v>1</v>
      </c>
      <c r="H567" s="36" t="s">
        <v>272</v>
      </c>
      <c r="I567" s="32" t="s">
        <v>1075</v>
      </c>
      <c r="J567" s="31" t="s">
        <v>280</v>
      </c>
    </row>
    <row r="568" hidden="1" customHeight="1" spans="2:10">
      <c r="B568" s="32" t="s">
        <v>1073</v>
      </c>
      <c r="C568" s="31" t="s">
        <v>1074</v>
      </c>
      <c r="D568" s="31" t="e">
        <f>_xlfn.DISPIMG("ID_88F843D7F66D45E3A71485F62F226B86",1)</f>
        <v>#REF!</v>
      </c>
      <c r="E568" s="35">
        <v>0.97</v>
      </c>
      <c r="F568" s="31" t="s">
        <v>156</v>
      </c>
      <c r="G568" s="31">
        <v>1</v>
      </c>
      <c r="H568" s="36" t="s">
        <v>272</v>
      </c>
      <c r="I568" s="32" t="s">
        <v>1075</v>
      </c>
      <c r="J568" s="31" t="s">
        <v>316</v>
      </c>
    </row>
    <row r="569" hidden="1" customHeight="1" spans="2:10">
      <c r="B569" s="32" t="s">
        <v>1077</v>
      </c>
      <c r="C569" s="31" t="s">
        <v>1046</v>
      </c>
      <c r="D569" s="30" t="e">
        <f>_xlfn.DISPIMG("ID_B76227F80D3C4B61834509418C13F8FA",1)</f>
        <v>#REF!</v>
      </c>
      <c r="E569" s="35">
        <v>0.99</v>
      </c>
      <c r="F569" s="31" t="s">
        <v>45</v>
      </c>
      <c r="G569" s="31">
        <v>1</v>
      </c>
      <c r="H569" s="36" t="s">
        <v>272</v>
      </c>
      <c r="I569" s="32" t="s">
        <v>1075</v>
      </c>
      <c r="J569" s="31" t="s">
        <v>316</v>
      </c>
    </row>
    <row r="570" hidden="1" customHeight="1" spans="1:10">
      <c r="A570" s="2">
        <v>241</v>
      </c>
      <c r="B570" s="67" t="s">
        <v>1078</v>
      </c>
      <c r="C570" s="67" t="s">
        <v>1079</v>
      </c>
      <c r="D570" s="68" t="str">
        <f>_xlfn.DISPIMG("ID_730D88A7E9A14D65BB8670753A4E54BF",1)</f>
        <v>=DISPIMG("ID_730D88A7E9A14D65BB8670753A4E54BF",1)</v>
      </c>
      <c r="E570" s="79">
        <v>0.995</v>
      </c>
      <c r="F570" s="67" t="s">
        <v>110</v>
      </c>
      <c r="G570" s="68">
        <v>1</v>
      </c>
      <c r="H570" s="5" t="s">
        <v>13</v>
      </c>
      <c r="I570" s="5" t="s">
        <v>1080</v>
      </c>
      <c r="J570" s="5" t="s">
        <v>1081</v>
      </c>
    </row>
    <row r="571" hidden="1" customHeight="1" spans="1:10">
      <c r="A571" s="2">
        <v>245</v>
      </c>
      <c r="B571" s="69" t="s">
        <v>1082</v>
      </c>
      <c r="C571" s="69" t="s">
        <v>1083</v>
      </c>
      <c r="D571" s="69" t="str">
        <f>_xlfn.DISPIMG("ID_F666DAFF506440FFA6EEA0F3D59ADF02",1)</f>
        <v>=DISPIMG("ID_F666DAFF506440FFA6EEA0F3D59ADF02",1)</v>
      </c>
      <c r="E571" s="69"/>
      <c r="F571" s="69"/>
      <c r="G571" s="69">
        <v>1</v>
      </c>
      <c r="H571" s="5" t="s">
        <v>13</v>
      </c>
      <c r="I571" s="83" t="s">
        <v>1080</v>
      </c>
      <c r="J571" s="2" t="s">
        <v>1084</v>
      </c>
    </row>
    <row r="572" hidden="1" customHeight="1" spans="1:10">
      <c r="A572" s="2">
        <v>246</v>
      </c>
      <c r="B572" s="69" t="s">
        <v>1085</v>
      </c>
      <c r="C572" s="70" t="s">
        <v>602</v>
      </c>
      <c r="D572" s="69" t="str">
        <f>_xlfn.DISPIMG("ID_3BB6865A153841C7A6CCDCD8E939E2E9",1)</f>
        <v>=DISPIMG("ID_3BB6865A153841C7A6CCDCD8E939E2E9",1)</v>
      </c>
      <c r="E572" s="80">
        <v>0.995</v>
      </c>
      <c r="F572" s="69"/>
      <c r="G572" s="69">
        <v>1</v>
      </c>
      <c r="H572" s="11" t="s">
        <v>13</v>
      </c>
      <c r="I572" s="11" t="s">
        <v>1080</v>
      </c>
      <c r="J572" s="5" t="s">
        <v>405</v>
      </c>
    </row>
    <row r="573" hidden="1" customHeight="1" spans="1:10">
      <c r="A573" s="2">
        <v>247</v>
      </c>
      <c r="B573" s="69" t="s">
        <v>1086</v>
      </c>
      <c r="C573" s="70" t="s">
        <v>1087</v>
      </c>
      <c r="D573" s="69" t="str">
        <f>_xlfn.DISPIMG("ID_3295D6C856AE4E4189F95834A49EFE1F",1)</f>
        <v>=DISPIMG("ID_3295D6C856AE4E4189F95834A49EFE1F",1)</v>
      </c>
      <c r="E573" s="69" t="s">
        <v>443</v>
      </c>
      <c r="F573" s="69" t="s">
        <v>110</v>
      </c>
      <c r="G573" s="69">
        <v>1</v>
      </c>
      <c r="H573" s="11" t="s">
        <v>13</v>
      </c>
      <c r="I573" s="11" t="s">
        <v>1080</v>
      </c>
      <c r="J573" s="5" t="s">
        <v>405</v>
      </c>
    </row>
    <row r="574" hidden="1" customHeight="1" spans="1:10">
      <c r="A574" s="2">
        <v>248</v>
      </c>
      <c r="B574" s="69" t="s">
        <v>1088</v>
      </c>
      <c r="C574" s="69" t="s">
        <v>1089</v>
      </c>
      <c r="D574" s="69" t="str">
        <f>_xlfn.DISPIMG("ID_A918CB83236B4970AF2C8D5C4BDF0E65",1)</f>
        <v>=DISPIMG("ID_A918CB83236B4970AF2C8D5C4BDF0E65",1)</v>
      </c>
      <c r="E574" s="69"/>
      <c r="F574" s="69"/>
      <c r="G574" s="69">
        <v>1</v>
      </c>
      <c r="H574" s="11" t="s">
        <v>13</v>
      </c>
      <c r="I574" s="11" t="s">
        <v>1080</v>
      </c>
      <c r="J574" s="5" t="s">
        <v>405</v>
      </c>
    </row>
    <row r="575" hidden="1" customHeight="1" spans="1:10">
      <c r="A575" s="2">
        <v>253</v>
      </c>
      <c r="B575" s="71" t="s">
        <v>1090</v>
      </c>
      <c r="C575" s="72" t="s">
        <v>1091</v>
      </c>
      <c r="D575" s="71" t="str">
        <f>_xlfn.DISPIMG("ID_233F74F4C78A4DBABA4A428D91453ECE",1)</f>
        <v>=DISPIMG("ID_233F74F4C78A4DBABA4A428D91453ECE",1)</v>
      </c>
      <c r="E575" s="81">
        <v>0.99</v>
      </c>
      <c r="F575" s="71" t="s">
        <v>50</v>
      </c>
      <c r="G575" s="71">
        <v>1</v>
      </c>
      <c r="H575" s="82" t="s">
        <v>13</v>
      </c>
      <c r="I575" s="11" t="s">
        <v>1080</v>
      </c>
      <c r="J575" s="84" t="s">
        <v>603</v>
      </c>
    </row>
    <row r="576" hidden="1" customHeight="1" spans="1:10">
      <c r="A576" s="2">
        <v>254</v>
      </c>
      <c r="B576" s="69" t="s">
        <v>1092</v>
      </c>
      <c r="C576" s="73" t="s">
        <v>1093</v>
      </c>
      <c r="D576" s="74" t="str">
        <f>_xlfn.DISPIMG("ID_190AE47166E84379850D914BEC461BD8",1)</f>
        <v>=DISPIMG("ID_190AE47166E84379850D914BEC461BD8",1)</v>
      </c>
      <c r="E576" s="80">
        <v>0.995</v>
      </c>
      <c r="F576" s="69" t="s">
        <v>57</v>
      </c>
      <c r="G576" s="69">
        <v>1</v>
      </c>
      <c r="H576" s="82" t="s">
        <v>13</v>
      </c>
      <c r="I576" s="83" t="s">
        <v>1080</v>
      </c>
      <c r="J576" s="67" t="s">
        <v>603</v>
      </c>
    </row>
    <row r="577" hidden="1" customHeight="1" spans="1:10">
      <c r="A577" s="2">
        <v>255</v>
      </c>
      <c r="B577" s="69" t="s">
        <v>1094</v>
      </c>
      <c r="C577" s="73" t="s">
        <v>1095</v>
      </c>
      <c r="D577" s="69" t="str">
        <f>_xlfn.DISPIMG("ID_09F266416D0E4E97B94016AFE7D6286F",1)</f>
        <v>=DISPIMG("ID_09F266416D0E4E97B94016AFE7D6286F",1)</v>
      </c>
      <c r="E577" s="69" t="s">
        <v>443</v>
      </c>
      <c r="F577" s="69" t="s">
        <v>45</v>
      </c>
      <c r="G577" s="69">
        <v>1</v>
      </c>
      <c r="H577" s="82" t="s">
        <v>13</v>
      </c>
      <c r="I577" s="11" t="s">
        <v>1080</v>
      </c>
      <c r="J577" s="67" t="s">
        <v>603</v>
      </c>
    </row>
    <row r="578" hidden="1" customHeight="1" spans="1:10">
      <c r="A578" s="2">
        <v>256</v>
      </c>
      <c r="B578" s="69" t="s">
        <v>1096</v>
      </c>
      <c r="C578" s="73" t="s">
        <v>1097</v>
      </c>
      <c r="D578" s="69" t="str">
        <f>_xlfn.DISPIMG("ID_FDD88BA72A7D419791D861152DFC7EC9",1)</f>
        <v>=DISPIMG("ID_FDD88BA72A7D419791D861152DFC7EC9",1)</v>
      </c>
      <c r="E578" s="69" t="s">
        <v>443</v>
      </c>
      <c r="F578" s="69" t="s">
        <v>50</v>
      </c>
      <c r="G578" s="69">
        <v>1</v>
      </c>
      <c r="H578" s="82" t="s">
        <v>13</v>
      </c>
      <c r="I578" s="11" t="s">
        <v>1080</v>
      </c>
      <c r="J578" s="67" t="s">
        <v>603</v>
      </c>
    </row>
    <row r="579" hidden="1" customHeight="1" spans="1:10">
      <c r="A579" s="2">
        <v>259</v>
      </c>
      <c r="B579" s="71" t="s">
        <v>1098</v>
      </c>
      <c r="C579" s="71" t="s">
        <v>1099</v>
      </c>
      <c r="D579" s="71" t="str">
        <f>_xlfn.DISPIMG("ID_A750EAB51F874C45A986B3E6437E05A6",1)</f>
        <v>=DISPIMG("ID_A750EAB51F874C45A986B3E6437E05A6",1)</v>
      </c>
      <c r="E579" s="95">
        <v>0.995</v>
      </c>
      <c r="F579" s="71" t="s">
        <v>50</v>
      </c>
      <c r="G579" s="71">
        <v>1</v>
      </c>
      <c r="H579" s="84" t="s">
        <v>13</v>
      </c>
      <c r="I579" s="11" t="s">
        <v>1080</v>
      </c>
      <c r="J579" s="107" t="s">
        <v>603</v>
      </c>
    </row>
    <row r="580" hidden="1" customHeight="1" spans="1:10">
      <c r="A580" s="2">
        <v>260</v>
      </c>
      <c r="B580" s="69" t="s">
        <v>1085</v>
      </c>
      <c r="C580" s="69" t="s">
        <v>602</v>
      </c>
      <c r="D580" s="69" t="str">
        <f>_xlfn.DISPIMG("ID_F8B7744F88414DF0A2E2004F2ACEEB28",1)</f>
        <v>=DISPIMG("ID_F8B7744F88414DF0A2E2004F2ACEEB28",1)</v>
      </c>
      <c r="E580" s="69"/>
      <c r="F580" s="69" t="s">
        <v>110</v>
      </c>
      <c r="G580" s="69">
        <v>1</v>
      </c>
      <c r="H580" s="67" t="s">
        <v>13</v>
      </c>
      <c r="I580" s="74" t="s">
        <v>1080</v>
      </c>
      <c r="J580" s="67" t="s">
        <v>603</v>
      </c>
    </row>
    <row r="581" hidden="1" customHeight="1" spans="1:10">
      <c r="A581" s="2">
        <v>261</v>
      </c>
      <c r="B581" s="85" t="s">
        <v>1100</v>
      </c>
      <c r="C581" s="85" t="s">
        <v>1101</v>
      </c>
      <c r="D581" s="85" t="str">
        <f>_xlfn.DISPIMG("ID_EADDC4F7F1D74F5F920CE5252B711C5C",1)</f>
        <v>=DISPIMG("ID_EADDC4F7F1D74F5F920CE5252B711C5C",1)</v>
      </c>
      <c r="E581" s="96">
        <v>0.99</v>
      </c>
      <c r="F581" s="85" t="s">
        <v>45</v>
      </c>
      <c r="G581" s="85">
        <v>4</v>
      </c>
      <c r="H581" s="97" t="s">
        <v>13</v>
      </c>
      <c r="I581" s="83" t="s">
        <v>1080</v>
      </c>
      <c r="J581" s="97" t="s">
        <v>603</v>
      </c>
    </row>
    <row r="582" hidden="1" customHeight="1" spans="1:10">
      <c r="A582" s="2">
        <v>262</v>
      </c>
      <c r="B582" s="86" t="s">
        <v>1102</v>
      </c>
      <c r="C582" s="86" t="s">
        <v>1103</v>
      </c>
      <c r="D582" s="86" t="str">
        <f>_xlfn.DISPIMG("ID_040ACC0FBEE1486B9E4BE54FD68D2C86",1)</f>
        <v>=DISPIMG("ID_040ACC0FBEE1486B9E4BE54FD68D2C86",1)</v>
      </c>
      <c r="E582" s="98">
        <v>0.99</v>
      </c>
      <c r="F582" s="86" t="s">
        <v>1104</v>
      </c>
      <c r="G582" s="86">
        <v>1</v>
      </c>
      <c r="H582" s="89" t="s">
        <v>13</v>
      </c>
      <c r="I582" s="92" t="s">
        <v>1080</v>
      </c>
      <c r="J582" s="89" t="s">
        <v>603</v>
      </c>
    </row>
    <row r="583" hidden="1" customHeight="1" spans="1:10">
      <c r="A583" s="2">
        <v>263</v>
      </c>
      <c r="B583" s="7" t="s">
        <v>1105</v>
      </c>
      <c r="C583" s="7" t="s">
        <v>1106</v>
      </c>
      <c r="D583" s="7" t="str">
        <f>_xlfn.DISPIMG("ID_CC25CDA661234893BB853CD5C62DF04E",1)</f>
        <v>=DISPIMG("ID_CC25CDA661234893BB853CD5C62DF04E",1)</v>
      </c>
      <c r="E583" s="7"/>
      <c r="F583" s="7"/>
      <c r="G583" s="7">
        <v>1</v>
      </c>
      <c r="H583" s="5" t="s">
        <v>13</v>
      </c>
      <c r="I583" s="11" t="s">
        <v>1080</v>
      </c>
      <c r="J583" s="5" t="s">
        <v>603</v>
      </c>
    </row>
    <row r="584" hidden="1" customHeight="1" spans="1:10">
      <c r="A584" s="2">
        <v>273</v>
      </c>
      <c r="B584" s="5" t="s">
        <v>1107</v>
      </c>
      <c r="C584" s="2" t="s">
        <v>1108</v>
      </c>
      <c r="D584" s="2" t="str">
        <f>_xlfn.DISPIMG("ID_0EC57C293FDE48989044379EECDCD4DD",1)</f>
        <v>=DISPIMG("ID_0EC57C293FDE48989044379EECDCD4DD",1)</v>
      </c>
      <c r="F584" s="5" t="s">
        <v>50</v>
      </c>
      <c r="G584" s="2">
        <v>1</v>
      </c>
      <c r="H584" s="5" t="s">
        <v>135</v>
      </c>
      <c r="I584" s="5" t="s">
        <v>1080</v>
      </c>
      <c r="J584" s="5" t="s">
        <v>1109</v>
      </c>
    </row>
    <row r="585" hidden="1" customHeight="1" spans="1:10">
      <c r="A585" s="2">
        <v>287</v>
      </c>
      <c r="B585" s="7" t="s">
        <v>1110</v>
      </c>
      <c r="C585" s="7" t="s">
        <v>1111</v>
      </c>
      <c r="D585" s="7" t="str">
        <f>_xlfn.DISPIMG("ID_F75DC6533B0A436D9B148CA3803A7DDD",1)</f>
        <v>=DISPIMG("ID_F75DC6533B0A436D9B148CA3803A7DDD",1)</v>
      </c>
      <c r="E585" s="22">
        <v>0.99</v>
      </c>
      <c r="F585" s="7" t="s">
        <v>45</v>
      </c>
      <c r="G585" s="7">
        <v>1</v>
      </c>
      <c r="H585" s="5" t="s">
        <v>13</v>
      </c>
      <c r="I585" s="11" t="s">
        <v>1080</v>
      </c>
      <c r="J585" s="5" t="s">
        <v>1112</v>
      </c>
    </row>
    <row r="586" hidden="1" customHeight="1" spans="1:10">
      <c r="A586" s="2">
        <v>292</v>
      </c>
      <c r="B586" s="7" t="s">
        <v>1113</v>
      </c>
      <c r="C586" s="11" t="s">
        <v>1114</v>
      </c>
      <c r="D586" s="7" t="str">
        <f>_xlfn.DISPIMG("ID_43770FC6688146F18A21AB0695C22EE4",1)</f>
        <v>=DISPIMG("ID_43770FC6688146F18A21AB0695C22EE4",1)</v>
      </c>
      <c r="E586" s="22">
        <v>0.88</v>
      </c>
      <c r="F586" s="7" t="s">
        <v>12</v>
      </c>
      <c r="G586" s="7">
        <v>1</v>
      </c>
      <c r="H586" s="11" t="s">
        <v>13</v>
      </c>
      <c r="I586" s="11" t="s">
        <v>1080</v>
      </c>
      <c r="J586" s="5" t="s">
        <v>1115</v>
      </c>
    </row>
    <row r="587" hidden="1" customHeight="1" spans="1:10">
      <c r="A587" s="2">
        <v>319</v>
      </c>
      <c r="B587" s="7" t="s">
        <v>1086</v>
      </c>
      <c r="C587" s="10" t="s">
        <v>1087</v>
      </c>
      <c r="D587" s="11" t="str">
        <f>_xlfn.DISPIMG("ID_073596AFFCE04611AA178EA31FBA64F0",1)</f>
        <v>=DISPIMG("ID_073596AFFCE04611AA178EA31FBA64F0",1)</v>
      </c>
      <c r="E587" s="7" t="s">
        <v>443</v>
      </c>
      <c r="F587" s="7" t="s">
        <v>110</v>
      </c>
      <c r="G587" s="7">
        <v>1</v>
      </c>
      <c r="H587" s="11" t="s">
        <v>13</v>
      </c>
      <c r="I587" s="11" t="s">
        <v>1080</v>
      </c>
      <c r="J587" s="5" t="s">
        <v>1116</v>
      </c>
    </row>
    <row r="588" hidden="1" customHeight="1" spans="1:10">
      <c r="A588" s="2">
        <v>320</v>
      </c>
      <c r="B588" s="7" t="s">
        <v>1088</v>
      </c>
      <c r="C588" s="10" t="s">
        <v>1117</v>
      </c>
      <c r="D588" s="11" t="str">
        <f>_xlfn.DISPIMG("ID_4DDE8DD47DD9491C9BFCB301B07C50B9",1)</f>
        <v>=DISPIMG("ID_4DDE8DD47DD9491C9BFCB301B07C50B9",1)</v>
      </c>
      <c r="E588" s="7"/>
      <c r="F588" s="7"/>
      <c r="G588" s="7">
        <v>1</v>
      </c>
      <c r="H588" s="11" t="s">
        <v>13</v>
      </c>
      <c r="I588" s="11" t="s">
        <v>1080</v>
      </c>
      <c r="J588" s="5" t="s">
        <v>1116</v>
      </c>
    </row>
    <row r="589" hidden="1" customHeight="1" spans="1:10">
      <c r="A589" s="2">
        <v>326</v>
      </c>
      <c r="B589" s="7" t="s">
        <v>1118</v>
      </c>
      <c r="C589" s="39" t="s">
        <v>1119</v>
      </c>
      <c r="D589" s="7" t="str">
        <f>_xlfn.DISPIMG("ID_35DC8CA855EA41569B223F33E8288EC6",1)</f>
        <v>=DISPIMG("ID_35DC8CA855EA41569B223F33E8288EC6",1)</v>
      </c>
      <c r="E589" s="7"/>
      <c r="F589" s="7"/>
      <c r="G589" s="7">
        <v>4</v>
      </c>
      <c r="H589" s="5" t="s">
        <v>13</v>
      </c>
      <c r="I589" s="11" t="s">
        <v>1080</v>
      </c>
      <c r="J589" s="5" t="s">
        <v>20</v>
      </c>
    </row>
    <row r="590" hidden="1" customHeight="1" spans="1:10">
      <c r="A590" s="2">
        <v>557</v>
      </c>
      <c r="B590" s="7" t="s">
        <v>1120</v>
      </c>
      <c r="C590" s="15" t="s">
        <v>1121</v>
      </c>
      <c r="D590" s="7" t="str">
        <f>_xlfn.DISPIMG("ID_BC054F1C36154103A6B0A21A78095B4B",1)</f>
        <v>=DISPIMG("ID_BC054F1C36154103A6B0A21A78095B4B",1)</v>
      </c>
      <c r="E590" s="22">
        <v>0.98</v>
      </c>
      <c r="F590" s="7" t="s">
        <v>45</v>
      </c>
      <c r="G590" s="7">
        <v>1</v>
      </c>
      <c r="H590" s="11" t="s">
        <v>13</v>
      </c>
      <c r="I590" s="11" t="s">
        <v>1080</v>
      </c>
      <c r="J590" s="11" t="s">
        <v>196</v>
      </c>
    </row>
    <row r="591" hidden="1" customHeight="1" spans="1:10">
      <c r="A591" s="2">
        <v>558</v>
      </c>
      <c r="B591" s="7" t="s">
        <v>1122</v>
      </c>
      <c r="C591" s="7" t="s">
        <v>1123</v>
      </c>
      <c r="D591" s="7" t="str">
        <f>_xlfn.DISPIMG("ID_6AC546936B6344249546993AC956AA45",1)</f>
        <v>=DISPIMG("ID_6AC546936B6344249546993AC956AA45",1)</v>
      </c>
      <c r="E591" s="22">
        <v>0.97</v>
      </c>
      <c r="F591" s="7" t="s">
        <v>45</v>
      </c>
      <c r="G591" s="7">
        <v>1</v>
      </c>
      <c r="H591" s="11" t="s">
        <v>13</v>
      </c>
      <c r="I591" s="11" t="s">
        <v>1080</v>
      </c>
      <c r="J591" s="11" t="s">
        <v>196</v>
      </c>
    </row>
    <row r="592" hidden="1" customHeight="1" spans="1:10">
      <c r="A592" s="2">
        <v>559</v>
      </c>
      <c r="B592" s="7" t="s">
        <v>1122</v>
      </c>
      <c r="C592" s="7" t="s">
        <v>1123</v>
      </c>
      <c r="D592" s="7" t="str">
        <f>_xlfn.DISPIMG("ID_BBEB970B5ECC448FA18A3272421D75B6",1)</f>
        <v>=DISPIMG("ID_BBEB970B5ECC448FA18A3272421D75B6",1)</v>
      </c>
      <c r="E592" s="22">
        <v>0.98</v>
      </c>
      <c r="F592" s="7" t="s">
        <v>23</v>
      </c>
      <c r="G592" s="7">
        <v>1</v>
      </c>
      <c r="H592" s="11" t="s">
        <v>13</v>
      </c>
      <c r="I592" s="11" t="s">
        <v>1080</v>
      </c>
      <c r="J592" s="11" t="s">
        <v>196</v>
      </c>
    </row>
    <row r="593" hidden="1" customHeight="1" spans="1:10">
      <c r="A593" s="2">
        <v>560</v>
      </c>
      <c r="B593" s="7" t="s">
        <v>1124</v>
      </c>
      <c r="C593" s="7" t="s">
        <v>1125</v>
      </c>
      <c r="D593" s="7" t="str">
        <f>_xlfn.DISPIMG("ID_85F8856E664C40EF9BBBE2B4F9C70666",1)</f>
        <v>=DISPIMG("ID_85F8856E664C40EF9BBBE2B4F9C70666",1)</v>
      </c>
      <c r="E593" s="23">
        <v>0.995</v>
      </c>
      <c r="F593" s="7" t="s">
        <v>23</v>
      </c>
      <c r="G593" s="7">
        <v>1</v>
      </c>
      <c r="H593" s="11" t="s">
        <v>13</v>
      </c>
      <c r="I593" s="11" t="s">
        <v>1080</v>
      </c>
      <c r="J593" s="11" t="s">
        <v>196</v>
      </c>
    </row>
    <row r="594" hidden="1" customHeight="1" spans="1:10">
      <c r="A594" s="2">
        <v>561</v>
      </c>
      <c r="B594" s="7" t="s">
        <v>1126</v>
      </c>
      <c r="C594" s="7" t="s">
        <v>1127</v>
      </c>
      <c r="D594" s="7" t="str">
        <f>_xlfn.DISPIMG("ID_41CB2EBEF18244D2877B24FAF3FFED91",1)</f>
        <v>=DISPIMG("ID_41CB2EBEF18244D2877B24FAF3FFED91",1)</v>
      </c>
      <c r="E594" s="22">
        <v>0.98</v>
      </c>
      <c r="F594" s="7" t="s">
        <v>23</v>
      </c>
      <c r="G594" s="7">
        <v>1</v>
      </c>
      <c r="H594" s="11" t="s">
        <v>13</v>
      </c>
      <c r="I594" s="11" t="s">
        <v>1080</v>
      </c>
      <c r="J594" s="11" t="s">
        <v>196</v>
      </c>
    </row>
    <row r="595" hidden="1" customHeight="1" spans="1:10">
      <c r="A595" s="2">
        <v>612</v>
      </c>
      <c r="B595" s="7" t="s">
        <v>1128</v>
      </c>
      <c r="C595" s="7" t="s">
        <v>1129</v>
      </c>
      <c r="D595" s="7" t="str">
        <f>_xlfn.DISPIMG("ID_E0BA3FD77C374CDE9F67189EC9A870F6",1)</f>
        <v>=DISPIMG("ID_E0BA3FD77C374CDE9F67189EC9A870F6",1)</v>
      </c>
      <c r="E595" s="22">
        <v>0.99</v>
      </c>
      <c r="F595" s="7" t="s">
        <v>50</v>
      </c>
      <c r="G595" s="7">
        <v>1</v>
      </c>
      <c r="H595" s="11" t="s">
        <v>13</v>
      </c>
      <c r="I595" s="11" t="s">
        <v>1080</v>
      </c>
      <c r="J595" s="11" t="s">
        <v>221</v>
      </c>
    </row>
    <row r="596" hidden="1" customHeight="1" spans="1:10">
      <c r="A596" s="2">
        <v>638</v>
      </c>
      <c r="B596" s="7" t="s">
        <v>1090</v>
      </c>
      <c r="C596" s="15" t="s">
        <v>1091</v>
      </c>
      <c r="D596" s="7" t="str">
        <f>_xlfn.DISPIMG("ID_233F74F4C78A4DBABA4A428D91453ECE",1)</f>
        <v>=DISPIMG("ID_233F74F4C78A4DBABA4A428D91453ECE",1)</v>
      </c>
      <c r="E596" s="22">
        <v>0.99</v>
      </c>
      <c r="F596" s="7" t="s">
        <v>50</v>
      </c>
      <c r="G596" s="7">
        <v>1</v>
      </c>
      <c r="H596" s="11" t="s">
        <v>13</v>
      </c>
      <c r="I596" s="11" t="s">
        <v>1080</v>
      </c>
      <c r="J596" s="11" t="s">
        <v>222</v>
      </c>
    </row>
    <row r="597" hidden="1" customHeight="1" spans="1:10">
      <c r="A597" s="2">
        <v>659</v>
      </c>
      <c r="B597" s="84" t="s">
        <v>1130</v>
      </c>
      <c r="C597" s="84" t="s">
        <v>1131</v>
      </c>
      <c r="D597" s="87" t="str">
        <f>_xlfn.DISPIMG("ID_F8AE1ABA2B8742C1A3E46810A4B6052B",1)</f>
        <v>=DISPIMG("ID_F8AE1ABA2B8742C1A3E46810A4B6052B",1)</v>
      </c>
      <c r="E597" s="99">
        <v>0.95</v>
      </c>
      <c r="F597" s="84" t="s">
        <v>23</v>
      </c>
      <c r="G597" s="87">
        <v>1</v>
      </c>
      <c r="H597" s="84" t="s">
        <v>13</v>
      </c>
      <c r="I597" s="82" t="s">
        <v>1080</v>
      </c>
      <c r="J597" s="84" t="s">
        <v>225</v>
      </c>
    </row>
    <row r="598" hidden="1" customHeight="1" spans="2:10">
      <c r="B598" s="63" t="s">
        <v>1132</v>
      </c>
      <c r="C598" s="63" t="s">
        <v>1133</v>
      </c>
      <c r="D598" s="63" t="e">
        <f>_xlfn.DISPIMG("ID_6E51D0CFBC6F408F8D0A8608BE748E79",1)</f>
        <v>#REF!</v>
      </c>
      <c r="E598" s="76">
        <v>0.99</v>
      </c>
      <c r="F598" s="63" t="s">
        <v>45</v>
      </c>
      <c r="G598" s="63">
        <v>1</v>
      </c>
      <c r="H598" s="78" t="s">
        <v>272</v>
      </c>
      <c r="I598" s="32" t="s">
        <v>1134</v>
      </c>
      <c r="J598" s="63" t="s">
        <v>316</v>
      </c>
    </row>
    <row r="599" hidden="1" customHeight="1" spans="2:10">
      <c r="B599" s="62" t="s">
        <v>1135</v>
      </c>
      <c r="C599" s="63" t="s">
        <v>1114</v>
      </c>
      <c r="D599" s="63" t="str">
        <f>_xlfn.DISPIMG("ID_938D21DD8B804266954E2EEF786225DE",1)</f>
        <v>=DISPIMG("ID_938D21DD8B804266954E2EEF786225DE",1)</v>
      </c>
      <c r="E599" s="76">
        <v>0.98</v>
      </c>
      <c r="F599" s="63" t="s">
        <v>94</v>
      </c>
      <c r="G599" s="63">
        <v>1</v>
      </c>
      <c r="H599" s="78" t="s">
        <v>272</v>
      </c>
      <c r="I599" s="32" t="s">
        <v>1134</v>
      </c>
      <c r="J599" s="63" t="s">
        <v>319</v>
      </c>
    </row>
    <row r="600" hidden="1" customHeight="1" spans="2:10">
      <c r="B600" s="88" t="s">
        <v>1136</v>
      </c>
      <c r="C600" s="88" t="s">
        <v>1137</v>
      </c>
      <c r="D600" s="88" t="e">
        <f>_xlfn.DISPIMG("ID_D9B614ACB06B4D309EA1A0EAA9C6DCFC",1)</f>
        <v>#REF!</v>
      </c>
      <c r="E600" s="100">
        <v>0.98</v>
      </c>
      <c r="F600" s="88" t="s">
        <v>23</v>
      </c>
      <c r="G600" s="88">
        <v>1</v>
      </c>
      <c r="H600" s="101" t="s">
        <v>272</v>
      </c>
      <c r="I600" s="108" t="s">
        <v>1134</v>
      </c>
      <c r="J600" s="88" t="s">
        <v>316</v>
      </c>
    </row>
    <row r="601" hidden="1" customHeight="1" spans="2:10">
      <c r="B601" s="89" t="s">
        <v>1138</v>
      </c>
      <c r="C601" s="89" t="s">
        <v>1139</v>
      </c>
      <c r="D601" s="90" t="str">
        <f>_xlfn.DISPIMG("ID_130F8F34D1B04AED818E1140BE396139",1)</f>
        <v>=DISPIMG("ID_130F8F34D1B04AED818E1140BE396139",1)</v>
      </c>
      <c r="E601" s="102">
        <v>0.95</v>
      </c>
      <c r="F601" s="89" t="s">
        <v>23</v>
      </c>
      <c r="G601" s="90">
        <v>1</v>
      </c>
      <c r="H601" s="89" t="s">
        <v>272</v>
      </c>
      <c r="I601" s="5" t="s">
        <v>1134</v>
      </c>
      <c r="J601" s="89" t="s">
        <v>1140</v>
      </c>
    </row>
    <row r="602" hidden="1" customHeight="1" spans="2:10">
      <c r="B602" s="89" t="s">
        <v>1141</v>
      </c>
      <c r="C602" s="90" t="s">
        <v>1142</v>
      </c>
      <c r="D602" s="90" t="str">
        <f>_xlfn.DISPIMG("ID_F778B0EAC01A4675975D646B36CD5CA3",1)</f>
        <v>=DISPIMG("ID_F778B0EAC01A4675975D646B36CD5CA3",1)</v>
      </c>
      <c r="E602" s="102">
        <v>0.97</v>
      </c>
      <c r="F602" s="89" t="s">
        <v>27</v>
      </c>
      <c r="G602" s="90">
        <v>1</v>
      </c>
      <c r="H602" s="89" t="s">
        <v>272</v>
      </c>
      <c r="I602" s="5" t="s">
        <v>1134</v>
      </c>
      <c r="J602" s="89" t="s">
        <v>1140</v>
      </c>
    </row>
    <row r="603" hidden="1" customHeight="1" spans="1:10">
      <c r="A603" s="2">
        <v>172</v>
      </c>
      <c r="B603" s="86" t="s">
        <v>1143</v>
      </c>
      <c r="C603" s="86" t="s">
        <v>618</v>
      </c>
      <c r="D603" s="86" t="str">
        <f>_xlfn.DISPIMG("ID_870B10E1C2E44BC49D51DB1CF0D5DEEA",1)</f>
        <v>=DISPIMG("ID_870B10E1C2E44BC49D51DB1CF0D5DEEA",1)</v>
      </c>
      <c r="E603" s="103">
        <v>0.99</v>
      </c>
      <c r="F603" s="86" t="s">
        <v>12</v>
      </c>
      <c r="G603" s="86">
        <v>1</v>
      </c>
      <c r="H603" s="92" t="s">
        <v>13</v>
      </c>
      <c r="I603" s="11" t="s">
        <v>1144</v>
      </c>
      <c r="J603" s="89" t="s">
        <v>1145</v>
      </c>
    </row>
    <row r="604" hidden="1" customHeight="1" spans="1:10">
      <c r="A604" s="2">
        <v>173</v>
      </c>
      <c r="B604" s="89" t="s">
        <v>1146</v>
      </c>
      <c r="C604" s="89" t="s">
        <v>1147</v>
      </c>
      <c r="D604" s="90"/>
      <c r="E604" s="90"/>
      <c r="F604" s="89" t="s">
        <v>23</v>
      </c>
      <c r="G604" s="90">
        <v>1</v>
      </c>
      <c r="H604" s="89" t="s">
        <v>13</v>
      </c>
      <c r="I604" s="5" t="s">
        <v>1144</v>
      </c>
      <c r="J604" s="89" t="s">
        <v>1145</v>
      </c>
    </row>
    <row r="605" hidden="1" customHeight="1" spans="1:10">
      <c r="A605" s="2">
        <v>252</v>
      </c>
      <c r="B605" s="86" t="s">
        <v>1143</v>
      </c>
      <c r="C605" s="86" t="s">
        <v>618</v>
      </c>
      <c r="D605" s="86" t="str">
        <f>_xlfn.DISPIMG("ID_A5D7BED545C649CB93FE72E8081B2EC9",1)</f>
        <v>=DISPIMG("ID_A5D7BED545C649CB93FE72E8081B2EC9",1)</v>
      </c>
      <c r="E605" s="86" t="s">
        <v>443</v>
      </c>
      <c r="F605" s="86" t="s">
        <v>12</v>
      </c>
      <c r="G605" s="86">
        <v>2</v>
      </c>
      <c r="H605" s="92" t="s">
        <v>13</v>
      </c>
      <c r="I605" s="11" t="s">
        <v>1144</v>
      </c>
      <c r="J605" s="89" t="s">
        <v>1148</v>
      </c>
    </row>
    <row r="606" hidden="1" customHeight="1" spans="1:10">
      <c r="A606" s="2">
        <v>270</v>
      </c>
      <c r="B606" s="89" t="s">
        <v>1149</v>
      </c>
      <c r="C606" s="89" t="s">
        <v>1150</v>
      </c>
      <c r="D606" s="90" t="str">
        <f>_xlfn.DISPIMG("ID_FF4EF763E642417DBB0BC150765C99D1",1)</f>
        <v>=DISPIMG("ID_FF4EF763E642417DBB0BC150765C99D1",1)</v>
      </c>
      <c r="E606" s="90"/>
      <c r="F606" s="90"/>
      <c r="G606" s="90"/>
      <c r="H606" s="89" t="s">
        <v>13</v>
      </c>
      <c r="I606" s="2" t="s">
        <v>1151</v>
      </c>
      <c r="J606" s="89" t="s">
        <v>603</v>
      </c>
    </row>
    <row r="607" hidden="1" customHeight="1" spans="1:10">
      <c r="A607" s="2">
        <v>282</v>
      </c>
      <c r="B607" s="86" t="s">
        <v>1152</v>
      </c>
      <c r="C607" s="91" t="s">
        <v>1153</v>
      </c>
      <c r="D607" s="92" t="str">
        <f>_xlfn.DISPIMG("ID_53B9C989A1B04F0AAD9E5D30E8005204",1)</f>
        <v>=DISPIMG("ID_53B9C989A1B04F0AAD9E5D30E8005204",1)</v>
      </c>
      <c r="E607" s="103">
        <v>0.995</v>
      </c>
      <c r="F607" s="86" t="s">
        <v>12</v>
      </c>
      <c r="G607" s="86">
        <v>6</v>
      </c>
      <c r="H607" s="92" t="s">
        <v>13</v>
      </c>
      <c r="I607" s="11" t="s">
        <v>1144</v>
      </c>
      <c r="J607" s="89" t="s">
        <v>1112</v>
      </c>
    </row>
    <row r="608" hidden="1" customHeight="1" spans="1:10">
      <c r="A608" s="2">
        <v>283</v>
      </c>
      <c r="B608" s="86" t="s">
        <v>1154</v>
      </c>
      <c r="C608" s="91" t="s">
        <v>1150</v>
      </c>
      <c r="D608" s="92" t="str">
        <f>_xlfn.DISPIMG("ID_5DCBE90781354546AC0A5D14A9A5C354",1)</f>
        <v>=DISPIMG("ID_5DCBE90781354546AC0A5D14A9A5C354",1)</v>
      </c>
      <c r="E608" s="103">
        <v>0.995</v>
      </c>
      <c r="F608" s="86" t="s">
        <v>12</v>
      </c>
      <c r="G608" s="86">
        <v>3</v>
      </c>
      <c r="H608" s="92" t="s">
        <v>135</v>
      </c>
      <c r="I608" s="11" t="s">
        <v>1144</v>
      </c>
      <c r="J608" s="89" t="s">
        <v>1112</v>
      </c>
    </row>
    <row r="609" hidden="1" customHeight="1" spans="1:10">
      <c r="A609" s="2">
        <v>284</v>
      </c>
      <c r="B609" s="86" t="s">
        <v>1155</v>
      </c>
      <c r="C609" s="86" t="s">
        <v>1156</v>
      </c>
      <c r="D609" s="86" t="str">
        <f>_xlfn.DISPIMG("ID_7368D67FAC9841568571895A48D76974",1)</f>
        <v>=DISPIMG("ID_7368D67FAC9841568571895A48D76974",1)</v>
      </c>
      <c r="E609" s="103">
        <v>0.9958</v>
      </c>
      <c r="F609" s="92" t="s">
        <v>45</v>
      </c>
      <c r="G609" s="86">
        <v>1</v>
      </c>
      <c r="H609" s="92" t="s">
        <v>13</v>
      </c>
      <c r="I609" s="11" t="s">
        <v>1144</v>
      </c>
      <c r="J609" s="89" t="s">
        <v>1112</v>
      </c>
    </row>
    <row r="610" hidden="1" customHeight="1" spans="1:10">
      <c r="A610" s="2">
        <v>285</v>
      </c>
      <c r="B610" s="7" t="s">
        <v>1157</v>
      </c>
      <c r="C610" s="7" t="s">
        <v>1158</v>
      </c>
      <c r="D610" s="7" t="str">
        <f>_xlfn.DISPIMG("ID_D6E57BFE8E7644BDB26897593244C625",1)</f>
        <v>=DISPIMG("ID_D6E57BFE8E7644BDB26897593244C625",1)</v>
      </c>
      <c r="E610" s="22">
        <v>0.97</v>
      </c>
      <c r="F610" s="7" t="s">
        <v>23</v>
      </c>
      <c r="G610" s="7">
        <v>1</v>
      </c>
      <c r="H610" s="11" t="s">
        <v>13</v>
      </c>
      <c r="I610" s="11" t="s">
        <v>1144</v>
      </c>
      <c r="J610" s="5" t="s">
        <v>1112</v>
      </c>
    </row>
    <row r="611" hidden="1" customHeight="1" spans="1:10">
      <c r="A611" s="2">
        <v>286</v>
      </c>
      <c r="B611" s="7" t="s">
        <v>1159</v>
      </c>
      <c r="C611" s="7" t="s">
        <v>1160</v>
      </c>
      <c r="D611" s="7" t="str">
        <f>_xlfn.DISPIMG("ID_8EBEA4AA52C140C69A633C136B76B1CF",1)</f>
        <v>=DISPIMG("ID_8EBEA4AA52C140C69A633C136B76B1CF",1)</v>
      </c>
      <c r="E611" s="22">
        <v>0.98</v>
      </c>
      <c r="F611" s="7" t="s">
        <v>75</v>
      </c>
      <c r="G611" s="7">
        <v>1</v>
      </c>
      <c r="H611" s="11" t="s">
        <v>13</v>
      </c>
      <c r="I611" s="11" t="s">
        <v>1144</v>
      </c>
      <c r="J611" s="5" t="s">
        <v>1112</v>
      </c>
    </row>
    <row r="612" hidden="1" customHeight="1" spans="1:10">
      <c r="A612" s="2">
        <v>288</v>
      </c>
      <c r="B612" s="7" t="s">
        <v>1161</v>
      </c>
      <c r="C612" s="13" t="s">
        <v>659</v>
      </c>
      <c r="D612" s="7" t="str">
        <f>_xlfn.DISPIMG("ID_BE1C90CBCBC54578A7C8AF28AB365D54",1)</f>
        <v>=DISPIMG("ID_BE1C90CBCBC54578A7C8AF28AB365D54",1)</v>
      </c>
      <c r="E612" s="22"/>
      <c r="F612" s="7" t="s">
        <v>50</v>
      </c>
      <c r="G612" s="7">
        <v>1</v>
      </c>
      <c r="H612" s="11" t="s">
        <v>13</v>
      </c>
      <c r="I612" s="11" t="s">
        <v>1144</v>
      </c>
      <c r="J612" s="5" t="s">
        <v>1112</v>
      </c>
    </row>
    <row r="613" hidden="1" customHeight="1" spans="1:10">
      <c r="A613" s="2">
        <v>289</v>
      </c>
      <c r="B613" s="7" t="s">
        <v>1154</v>
      </c>
      <c r="C613" s="7" t="s">
        <v>1150</v>
      </c>
      <c r="D613" s="7" t="str">
        <f>_xlfn.DISPIMG("ID_870D785126C740D49DC7CCF149D61474",1)</f>
        <v>=DISPIMG("ID_870D785126C740D49DC7CCF149D61474",1)</v>
      </c>
      <c r="E613" s="23">
        <v>0.995</v>
      </c>
      <c r="F613" s="7" t="s">
        <v>12</v>
      </c>
      <c r="G613" s="7">
        <v>1</v>
      </c>
      <c r="H613" s="11" t="s">
        <v>135</v>
      </c>
      <c r="I613" s="11" t="s">
        <v>1144</v>
      </c>
      <c r="J613" s="5" t="s">
        <v>1112</v>
      </c>
    </row>
    <row r="614" hidden="1" customHeight="1" spans="1:10">
      <c r="A614" s="2">
        <v>290</v>
      </c>
      <c r="B614" s="5" t="s">
        <v>1162</v>
      </c>
      <c r="C614" s="5" t="s">
        <v>1150</v>
      </c>
      <c r="D614" s="2" t="str">
        <f>_xlfn.DISPIMG("ID_1F146D200D484DE3BB9FBA7C0327FDB1",1)</f>
        <v>=DISPIMG("ID_1F146D200D484DE3BB9FBA7C0327FDB1",1)</v>
      </c>
      <c r="H614" s="11" t="s">
        <v>135</v>
      </c>
      <c r="I614" s="11" t="s">
        <v>1144</v>
      </c>
      <c r="J614" s="5" t="s">
        <v>1112</v>
      </c>
    </row>
    <row r="615" hidden="1" customHeight="1" spans="1:10">
      <c r="A615" s="2">
        <v>291</v>
      </c>
      <c r="B615" s="5" t="s">
        <v>1162</v>
      </c>
      <c r="C615" s="5" t="s">
        <v>1150</v>
      </c>
      <c r="D615" s="2" t="str">
        <f>_xlfn.DISPIMG("ID_F550FD6BCC1A48C09856945C6676AFD4",1)</f>
        <v>=DISPIMG("ID_F550FD6BCC1A48C09856945C6676AFD4",1)</v>
      </c>
      <c r="H615" s="11" t="s">
        <v>135</v>
      </c>
      <c r="I615" s="11" t="s">
        <v>1144</v>
      </c>
      <c r="J615" s="5" t="s">
        <v>1112</v>
      </c>
    </row>
    <row r="616" hidden="1" customHeight="1" spans="1:10">
      <c r="A616" s="2">
        <v>315</v>
      </c>
      <c r="B616" s="5" t="s">
        <v>1162</v>
      </c>
      <c r="C616" s="5" t="s">
        <v>1150</v>
      </c>
      <c r="H616" s="11" t="s">
        <v>13</v>
      </c>
      <c r="I616" s="5" t="s">
        <v>1144</v>
      </c>
      <c r="J616" s="5" t="s">
        <v>1163</v>
      </c>
    </row>
    <row r="617" hidden="1" customHeight="1" spans="1:10">
      <c r="A617" s="2">
        <v>325</v>
      </c>
      <c r="B617" s="7" t="s">
        <v>1143</v>
      </c>
      <c r="C617" s="7" t="s">
        <v>618</v>
      </c>
      <c r="D617" s="7" t="str">
        <f>_xlfn.DISPIMG("ID_FAFCB14787F24F5FA27B2D48A4435405",1)</f>
        <v>=DISPIMG("ID_FAFCB14787F24F5FA27B2D48A4435405",1)</v>
      </c>
      <c r="E617" s="7"/>
      <c r="F617" s="7" t="s">
        <v>12</v>
      </c>
      <c r="G617" s="7">
        <v>2</v>
      </c>
      <c r="H617" s="11" t="s">
        <v>13</v>
      </c>
      <c r="I617" s="11" t="s">
        <v>1144</v>
      </c>
      <c r="J617" s="5" t="s">
        <v>20</v>
      </c>
    </row>
    <row r="618" hidden="1" customHeight="1" spans="1:10">
      <c r="A618" s="2">
        <v>352</v>
      </c>
      <c r="B618" s="7" t="s">
        <v>1143</v>
      </c>
      <c r="C618" s="11" t="s">
        <v>618</v>
      </c>
      <c r="D618" s="7" t="str">
        <f>_xlfn.DISPIMG("ID_E1204B6F4E854735ACC0757082A2B36C",1)</f>
        <v>=DISPIMG("ID_E1204B6F4E854735ACC0757082A2B36C",1)</v>
      </c>
      <c r="E618" s="7"/>
      <c r="F618" s="7"/>
      <c r="G618" s="7">
        <v>2</v>
      </c>
      <c r="H618" s="11" t="s">
        <v>13</v>
      </c>
      <c r="I618" s="11" t="s">
        <v>1144</v>
      </c>
      <c r="J618" s="5" t="s">
        <v>463</v>
      </c>
    </row>
    <row r="619" hidden="1" customHeight="1" spans="1:10">
      <c r="A619" s="2">
        <v>437</v>
      </c>
      <c r="B619" s="7" t="s">
        <v>1164</v>
      </c>
      <c r="C619" s="7" t="s">
        <v>1165</v>
      </c>
      <c r="D619" s="7" t="str">
        <f>_xlfn.DISPIMG("ID_DFE6006AB6514DB1908176AA9B7FB9A8",1)</f>
        <v>=DISPIMG("ID_DFE6006AB6514DB1908176AA9B7FB9A8",1)</v>
      </c>
      <c r="E619" s="22">
        <v>0.97</v>
      </c>
      <c r="F619" s="7" t="s">
        <v>45</v>
      </c>
      <c r="G619" s="7">
        <v>1</v>
      </c>
      <c r="H619" s="11" t="s">
        <v>13</v>
      </c>
      <c r="I619" s="11" t="s">
        <v>1144</v>
      </c>
      <c r="J619" s="11" t="s">
        <v>41</v>
      </c>
    </row>
    <row r="620" hidden="1" customHeight="1" spans="1:10">
      <c r="A620" s="2">
        <v>513</v>
      </c>
      <c r="B620" s="7" t="s">
        <v>1166</v>
      </c>
      <c r="C620" s="7" t="s">
        <v>1167</v>
      </c>
      <c r="D620" s="7" t="str">
        <f>_xlfn.DISPIMG("ID_F1E0E01360E94AED844A10B6C2BCA82F",1)</f>
        <v>=DISPIMG("ID_F1E0E01360E94AED844A10B6C2BCA82F",1)</v>
      </c>
      <c r="E620" s="22">
        <v>0.99</v>
      </c>
      <c r="F620" s="7" t="s">
        <v>45</v>
      </c>
      <c r="G620" s="7">
        <v>1</v>
      </c>
      <c r="H620" s="11" t="s">
        <v>13</v>
      </c>
      <c r="I620" s="11" t="s">
        <v>1144</v>
      </c>
      <c r="J620" s="5" t="s">
        <v>172</v>
      </c>
    </row>
    <row r="621" hidden="1" customHeight="1" spans="1:10">
      <c r="A621" s="2">
        <v>554</v>
      </c>
      <c r="B621" s="7" t="s">
        <v>776</v>
      </c>
      <c r="C621" s="7" t="s">
        <v>777</v>
      </c>
      <c r="D621" s="7" t="str">
        <f>_xlfn.DISPIMG("ID_A323400B39FE4B50889BB66C36E20D87",1)</f>
        <v>=DISPIMG("ID_A323400B39FE4B50889BB66C36E20D87",1)</v>
      </c>
      <c r="E621" s="22">
        <v>0.98</v>
      </c>
      <c r="F621" s="7" t="s">
        <v>161</v>
      </c>
      <c r="G621" s="7">
        <v>1</v>
      </c>
      <c r="H621" s="11" t="s">
        <v>13</v>
      </c>
      <c r="I621" s="11" t="s">
        <v>1144</v>
      </c>
      <c r="J621" s="11" t="s">
        <v>196</v>
      </c>
    </row>
    <row r="622" hidden="1" customHeight="1" spans="1:10">
      <c r="A622" s="2">
        <v>567</v>
      </c>
      <c r="B622" s="5" t="s">
        <v>1168</v>
      </c>
      <c r="C622" s="26"/>
      <c r="D622" s="26"/>
      <c r="E622" s="22">
        <v>0.85</v>
      </c>
      <c r="F622" s="5" t="s">
        <v>27</v>
      </c>
      <c r="G622" s="26">
        <v>1</v>
      </c>
      <c r="H622" s="26"/>
      <c r="I622" s="5" t="s">
        <v>1144</v>
      </c>
      <c r="J622" s="11" t="s">
        <v>196</v>
      </c>
    </row>
    <row r="623" hidden="1" customHeight="1" spans="1:10">
      <c r="A623" s="2">
        <v>703</v>
      </c>
      <c r="B623" s="2" t="s">
        <v>1169</v>
      </c>
      <c r="C623" s="2" t="s">
        <v>1170</v>
      </c>
      <c r="D623" s="2" t="str">
        <f>_xlfn.DISPIMG("ID_2550CA6E8E5B47B0A1A6FD2559C207F0",1)</f>
        <v>=DISPIMG("ID_2550CA6E8E5B47B0A1A6FD2559C207F0",1)</v>
      </c>
      <c r="E623" s="2" t="s">
        <v>1061</v>
      </c>
      <c r="F623" s="2" t="s">
        <v>175</v>
      </c>
      <c r="G623" s="2">
        <v>1</v>
      </c>
      <c r="H623" s="2" t="s">
        <v>272</v>
      </c>
      <c r="I623" s="2" t="s">
        <v>1171</v>
      </c>
      <c r="J623" s="2" t="s">
        <v>883</v>
      </c>
    </row>
    <row r="624" hidden="1" customHeight="1" spans="2:10">
      <c r="B624" s="32" t="s">
        <v>1172</v>
      </c>
      <c r="C624" s="31" t="s">
        <v>1173</v>
      </c>
      <c r="D624" s="31" t="str">
        <f>_xlfn.DISPIMG("ID_D2950FBADF224635940781E9107CBA44",1)</f>
        <v>=DISPIMG("ID_D2950FBADF224635940781E9107CBA44",1)</v>
      </c>
      <c r="E624" s="31"/>
      <c r="F624" s="31" t="s">
        <v>45</v>
      </c>
      <c r="G624" s="31">
        <v>1</v>
      </c>
      <c r="H624" s="36" t="s">
        <v>272</v>
      </c>
      <c r="I624" s="32" t="s">
        <v>1171</v>
      </c>
      <c r="J624" s="31" t="s">
        <v>308</v>
      </c>
    </row>
    <row r="625" hidden="1" customHeight="1" spans="2:10">
      <c r="B625" s="31" t="s">
        <v>1174</v>
      </c>
      <c r="C625" s="31" t="s">
        <v>1175</v>
      </c>
      <c r="D625" s="31" t="e">
        <f>_xlfn.DISPIMG("ID_AF5E08D38FA945FE9492EAD1DED0FBB1",1)</f>
        <v>#REF!</v>
      </c>
      <c r="E625" s="35">
        <v>0.97</v>
      </c>
      <c r="F625" s="31" t="s">
        <v>23</v>
      </c>
      <c r="G625" s="31">
        <v>1</v>
      </c>
      <c r="H625" s="36" t="s">
        <v>272</v>
      </c>
      <c r="I625" s="32" t="s">
        <v>1171</v>
      </c>
      <c r="J625" s="31" t="s">
        <v>316</v>
      </c>
    </row>
    <row r="626" hidden="1" customHeight="1" spans="1:10">
      <c r="A626" s="2">
        <v>186</v>
      </c>
      <c r="B626" s="84" t="s">
        <v>1176</v>
      </c>
      <c r="C626" s="93" t="s">
        <v>1177</v>
      </c>
      <c r="D626" s="82" t="str">
        <f>_xlfn.DISPIMG("ID_095667990E964A758CD8AC0961938E43",1)</f>
        <v>=DISPIMG("ID_095667990E964A758CD8AC0961938E43",1)</v>
      </c>
      <c r="E626" s="104">
        <v>0.999</v>
      </c>
      <c r="F626" s="84" t="s">
        <v>12</v>
      </c>
      <c r="G626" s="94"/>
      <c r="H626" s="84" t="s">
        <v>13</v>
      </c>
      <c r="I626" s="84" t="s">
        <v>1178</v>
      </c>
      <c r="J626" s="84" t="s">
        <v>453</v>
      </c>
    </row>
    <row r="627" hidden="1" customHeight="1" spans="1:10">
      <c r="A627" s="2">
        <v>295</v>
      </c>
      <c r="B627" s="69" t="s">
        <v>1179</v>
      </c>
      <c r="C627" s="69" t="s">
        <v>393</v>
      </c>
      <c r="D627" s="69" t="str">
        <f>_xlfn.DISPIMG("ID_A8023FFFEE514CB5A5007F44F335D4E7",1)</f>
        <v>=DISPIMG("ID_A8023FFFEE514CB5A5007F44F335D4E7",1)</v>
      </c>
      <c r="E627" s="105">
        <v>0.98</v>
      </c>
      <c r="F627" s="69" t="s">
        <v>23</v>
      </c>
      <c r="G627" s="69">
        <v>1</v>
      </c>
      <c r="H627" s="74" t="s">
        <v>13</v>
      </c>
      <c r="I627" s="11" t="s">
        <v>1178</v>
      </c>
      <c r="J627" s="67" t="s">
        <v>1180</v>
      </c>
    </row>
    <row r="628" hidden="1" customHeight="1" spans="1:10">
      <c r="A628" s="2">
        <v>311</v>
      </c>
      <c r="B628" s="69" t="s">
        <v>1181</v>
      </c>
      <c r="C628" s="69" t="s">
        <v>1182</v>
      </c>
      <c r="D628" s="69" t="str">
        <f>_xlfn.DISPIMG("ID_F850A5DDE2DF4EB887663D8369F3C2E3",1)</f>
        <v>=DISPIMG("ID_F850A5DDE2DF4EB887663D8369F3C2E3",1)</v>
      </c>
      <c r="E628" s="69"/>
      <c r="F628" s="69" t="s">
        <v>12</v>
      </c>
      <c r="G628" s="69">
        <v>1</v>
      </c>
      <c r="H628" s="74" t="s">
        <v>13</v>
      </c>
      <c r="I628" s="11" t="s">
        <v>1178</v>
      </c>
      <c r="J628" s="67" t="s">
        <v>1183</v>
      </c>
    </row>
    <row r="629" hidden="1" customHeight="1" spans="1:10">
      <c r="A629" s="2">
        <v>367</v>
      </c>
      <c r="B629" s="67" t="s">
        <v>1184</v>
      </c>
      <c r="C629" s="67" t="s">
        <v>909</v>
      </c>
      <c r="D629" s="68" t="str">
        <f>_xlfn.DISPIMG("ID_56F0EF34EE804FBEB49A3B9C44199CB9",1)</f>
        <v>=DISPIMG("ID_56F0EF34EE804FBEB49A3B9C44199CB9",1)</v>
      </c>
      <c r="E629" s="106">
        <v>0.99</v>
      </c>
      <c r="F629" s="67" t="s">
        <v>156</v>
      </c>
      <c r="G629" s="68">
        <v>1</v>
      </c>
      <c r="H629" s="67" t="s">
        <v>13</v>
      </c>
      <c r="I629" s="5" t="s">
        <v>1178</v>
      </c>
      <c r="J629" s="67" t="s">
        <v>664</v>
      </c>
    </row>
    <row r="630" hidden="1" customHeight="1" spans="1:10">
      <c r="A630" s="2">
        <v>628</v>
      </c>
      <c r="B630" s="69" t="s">
        <v>1185</v>
      </c>
      <c r="C630" s="69" t="s">
        <v>1074</v>
      </c>
      <c r="D630" s="69" t="str">
        <f>_xlfn.DISPIMG("ID_C63D00B5C05544759ED65CD6F86EA178",1)</f>
        <v>=DISPIMG("ID_C63D00B5C05544759ED65CD6F86EA178",1)</v>
      </c>
      <c r="E630" s="105">
        <v>0.97</v>
      </c>
      <c r="F630" s="69" t="s">
        <v>175</v>
      </c>
      <c r="G630" s="69">
        <v>1</v>
      </c>
      <c r="H630" s="74" t="s">
        <v>13</v>
      </c>
      <c r="I630" s="11" t="s">
        <v>1178</v>
      </c>
      <c r="J630" s="74" t="s">
        <v>222</v>
      </c>
    </row>
    <row r="631" hidden="1" customHeight="1" spans="1:10">
      <c r="A631" s="2">
        <v>310</v>
      </c>
      <c r="B631" s="69" t="s">
        <v>1186</v>
      </c>
      <c r="C631" s="73" t="s">
        <v>1177</v>
      </c>
      <c r="D631" s="74" t="str">
        <f>_xlfn.DISPIMG("ID_095667990E964A758CD8AC0961938E43",1)</f>
        <v>=DISPIMG("ID_095667990E964A758CD8AC0961938E43",1)</v>
      </c>
      <c r="E631" s="80">
        <v>0.999</v>
      </c>
      <c r="F631" s="69" t="s">
        <v>12</v>
      </c>
      <c r="G631" s="69">
        <v>1</v>
      </c>
      <c r="H631" s="74" t="s">
        <v>13</v>
      </c>
      <c r="I631" s="11" t="s">
        <v>1187</v>
      </c>
      <c r="J631" s="67" t="s">
        <v>1183</v>
      </c>
    </row>
    <row r="632" hidden="1" customHeight="1" spans="1:10">
      <c r="A632" s="2">
        <v>312</v>
      </c>
      <c r="B632" s="69" t="s">
        <v>1188</v>
      </c>
      <c r="C632" s="74" t="s">
        <v>1189</v>
      </c>
      <c r="D632" s="69" t="str">
        <f>_xlfn.DISPIMG("ID_8A1422B9E752499DA4B36A15544C43A7",1)</f>
        <v>=DISPIMG("ID_8A1422B9E752499DA4B36A15544C43A7",1)</v>
      </c>
      <c r="E632" s="105">
        <v>0.98</v>
      </c>
      <c r="F632" s="69" t="s">
        <v>12</v>
      </c>
      <c r="G632" s="69">
        <v>4</v>
      </c>
      <c r="H632" s="74" t="s">
        <v>13</v>
      </c>
      <c r="I632" s="11" t="s">
        <v>1187</v>
      </c>
      <c r="J632" s="67" t="s">
        <v>1183</v>
      </c>
    </row>
    <row r="633" hidden="1" customHeight="1" spans="1:10">
      <c r="A633" s="2">
        <v>313</v>
      </c>
      <c r="B633" s="69" t="s">
        <v>1188</v>
      </c>
      <c r="C633" s="74" t="s">
        <v>1189</v>
      </c>
      <c r="D633" s="69" t="str">
        <f>_xlfn.DISPIMG("ID_CD6A6D3DB31945B881E8C95E89ED1B6A",1)</f>
        <v>=DISPIMG("ID_CD6A6D3DB31945B881E8C95E89ED1B6A",1)</v>
      </c>
      <c r="E633" s="105">
        <v>0.98</v>
      </c>
      <c r="F633" s="69" t="s">
        <v>12</v>
      </c>
      <c r="G633" s="69">
        <v>3</v>
      </c>
      <c r="H633" s="74" t="s">
        <v>13</v>
      </c>
      <c r="I633" s="11" t="s">
        <v>1187</v>
      </c>
      <c r="J633" s="67" t="s">
        <v>1183</v>
      </c>
    </row>
    <row r="634" hidden="1" customHeight="1" spans="1:10">
      <c r="A634" s="2">
        <v>314</v>
      </c>
      <c r="B634" s="67" t="s">
        <v>1190</v>
      </c>
      <c r="C634" s="67" t="s">
        <v>1191</v>
      </c>
      <c r="D634" s="68" t="str">
        <f>_xlfn.DISPIMG("ID_66198DEC34DD4F838E94814FD282FB62",1)</f>
        <v>=DISPIMG("ID_66198DEC34DD4F838E94814FD282FB62",1)</v>
      </c>
      <c r="E634" s="106">
        <v>0.99</v>
      </c>
      <c r="F634" s="67" t="s">
        <v>12</v>
      </c>
      <c r="G634" s="68">
        <v>1</v>
      </c>
      <c r="H634" s="67" t="s">
        <v>13</v>
      </c>
      <c r="I634" s="5" t="s">
        <v>1187</v>
      </c>
      <c r="J634" s="67" t="s">
        <v>1183</v>
      </c>
    </row>
    <row r="635" hidden="1" customHeight="1" spans="1:10">
      <c r="A635" s="2">
        <v>693</v>
      </c>
      <c r="B635" s="2" t="s">
        <v>1192</v>
      </c>
      <c r="C635" s="2" t="s">
        <v>1193</v>
      </c>
      <c r="D635" s="2" t="s">
        <v>1194</v>
      </c>
      <c r="E635" s="20">
        <v>0.96</v>
      </c>
      <c r="F635" s="2" t="s">
        <v>1195</v>
      </c>
      <c r="G635" s="2">
        <v>1</v>
      </c>
      <c r="H635" s="2" t="s">
        <v>272</v>
      </c>
      <c r="I635" s="2" t="s">
        <v>1196</v>
      </c>
      <c r="J635" s="2" t="s">
        <v>1197</v>
      </c>
    </row>
    <row r="636" hidden="1" customHeight="1" spans="1:10">
      <c r="A636" s="2">
        <v>694</v>
      </c>
      <c r="B636" s="2" t="s">
        <v>1198</v>
      </c>
      <c r="C636" s="2" t="s">
        <v>1199</v>
      </c>
      <c r="D636" s="2" t="s">
        <v>1200</v>
      </c>
      <c r="E636" s="24">
        <v>0.995</v>
      </c>
      <c r="F636" s="2" t="s">
        <v>57</v>
      </c>
      <c r="G636" s="2">
        <v>1</v>
      </c>
      <c r="H636" s="2" t="s">
        <v>272</v>
      </c>
      <c r="I636" s="2" t="s">
        <v>1196</v>
      </c>
      <c r="J636" s="2" t="s">
        <v>1201</v>
      </c>
    </row>
    <row r="637" hidden="1" customHeight="1" spans="1:10">
      <c r="A637" s="2">
        <v>695</v>
      </c>
      <c r="B637" s="5" t="s">
        <v>1202</v>
      </c>
      <c r="C637" s="5" t="s">
        <v>1203</v>
      </c>
      <c r="D637" s="5" t="s">
        <v>1204</v>
      </c>
      <c r="E637" s="20">
        <v>0.99</v>
      </c>
      <c r="F637" s="5" t="s">
        <v>45</v>
      </c>
      <c r="G637" s="2">
        <v>1</v>
      </c>
      <c r="H637" s="5" t="s">
        <v>272</v>
      </c>
      <c r="I637" s="2" t="s">
        <v>1196</v>
      </c>
      <c r="J637" s="5" t="s">
        <v>1205</v>
      </c>
    </row>
    <row r="638" hidden="1" customHeight="1" spans="1:10">
      <c r="A638" s="2">
        <v>696</v>
      </c>
      <c r="B638" s="5" t="s">
        <v>1206</v>
      </c>
      <c r="C638" s="5" t="s">
        <v>1207</v>
      </c>
      <c r="D638" s="5" t="s">
        <v>1208</v>
      </c>
      <c r="E638" s="20">
        <v>0.99</v>
      </c>
      <c r="F638" s="5" t="s">
        <v>50</v>
      </c>
      <c r="G638" s="2">
        <v>1</v>
      </c>
      <c r="H638" s="5" t="s">
        <v>272</v>
      </c>
      <c r="I638" s="2" t="s">
        <v>1196</v>
      </c>
      <c r="J638" s="5" t="s">
        <v>1205</v>
      </c>
    </row>
    <row r="639" hidden="1" customHeight="1" spans="1:10">
      <c r="A639" s="2">
        <v>708</v>
      </c>
      <c r="B639" s="2" t="s">
        <v>1209</v>
      </c>
      <c r="D639" s="2" t="s">
        <v>1210</v>
      </c>
      <c r="E639" s="2" t="s">
        <v>1211</v>
      </c>
      <c r="G639" s="2">
        <v>1</v>
      </c>
      <c r="H639" s="2" t="s">
        <v>272</v>
      </c>
      <c r="I639" s="2" t="s">
        <v>1196</v>
      </c>
      <c r="J639" s="2" t="s">
        <v>1212</v>
      </c>
    </row>
    <row r="640" hidden="1" customHeight="1" spans="1:10">
      <c r="A640" s="2">
        <v>710</v>
      </c>
      <c r="B640" s="94" t="s">
        <v>1213</v>
      </c>
      <c r="C640" s="94"/>
      <c r="D640" s="94" t="s">
        <v>1214</v>
      </c>
      <c r="E640" s="94"/>
      <c r="F640" s="94"/>
      <c r="G640" s="94">
        <v>1</v>
      </c>
      <c r="H640" s="94" t="s">
        <v>272</v>
      </c>
      <c r="I640" s="94" t="s">
        <v>1196</v>
      </c>
      <c r="J640" s="94" t="s">
        <v>1215</v>
      </c>
    </row>
    <row r="641" hidden="1" customHeight="1" spans="1:10">
      <c r="A641" s="2">
        <v>711</v>
      </c>
      <c r="B641" s="68" t="s">
        <v>1216</v>
      </c>
      <c r="C641" s="68"/>
      <c r="D641" s="68" t="s">
        <v>1217</v>
      </c>
      <c r="E641" s="68"/>
      <c r="F641" s="68"/>
      <c r="G641" s="68">
        <v>1</v>
      </c>
      <c r="H641" s="68" t="s">
        <v>272</v>
      </c>
      <c r="I641" s="68" t="s">
        <v>1196</v>
      </c>
      <c r="J641" s="68" t="s">
        <v>1218</v>
      </c>
    </row>
    <row r="642" hidden="1" customHeight="1" spans="1:10">
      <c r="A642" s="2">
        <v>1</v>
      </c>
      <c r="B642" s="69" t="s">
        <v>1219</v>
      </c>
      <c r="C642" s="69" t="s">
        <v>1220</v>
      </c>
      <c r="D642" s="69" t="str">
        <f>_xlfn.DISPIMG("ID_77056350CE214A888574109EF046922D",1)</f>
        <v>=DISPIMG("ID_77056350CE214A888574109EF046922D",1)</v>
      </c>
      <c r="E642" s="105">
        <v>0.98</v>
      </c>
      <c r="F642" s="69"/>
      <c r="G642" s="69">
        <v>1</v>
      </c>
      <c r="H642" s="74" t="s">
        <v>13</v>
      </c>
      <c r="I642" s="74" t="s">
        <v>1221</v>
      </c>
      <c r="J642" s="67" t="s">
        <v>592</v>
      </c>
    </row>
    <row r="643" hidden="1" customHeight="1" spans="1:10">
      <c r="A643" s="2">
        <v>2</v>
      </c>
      <c r="B643" s="69" t="s">
        <v>1222</v>
      </c>
      <c r="C643" s="69" t="s">
        <v>1223</v>
      </c>
      <c r="D643" s="69" t="s">
        <v>1224</v>
      </c>
      <c r="E643" s="69"/>
      <c r="F643" s="69"/>
      <c r="G643" s="69">
        <v>1</v>
      </c>
      <c r="H643" s="74" t="s">
        <v>13</v>
      </c>
      <c r="I643" s="74" t="s">
        <v>1221</v>
      </c>
      <c r="J643" s="67" t="s">
        <v>592</v>
      </c>
    </row>
    <row r="644" hidden="1" customHeight="1" spans="1:10">
      <c r="A644" s="2">
        <v>3</v>
      </c>
      <c r="B644" s="109" t="s">
        <v>1225</v>
      </c>
      <c r="C644" s="69" t="s">
        <v>1226</v>
      </c>
      <c r="D644" s="109" t="s">
        <v>1227</v>
      </c>
      <c r="E644" s="80">
        <v>0.999</v>
      </c>
      <c r="F644" s="69" t="s">
        <v>45</v>
      </c>
      <c r="G644" s="69">
        <v>1</v>
      </c>
      <c r="H644" s="74" t="s">
        <v>13</v>
      </c>
      <c r="I644" s="74" t="s">
        <v>1221</v>
      </c>
      <c r="J644" s="67" t="s">
        <v>592</v>
      </c>
    </row>
    <row r="645" hidden="1" customHeight="1" spans="1:10">
      <c r="A645" s="2">
        <v>4</v>
      </c>
      <c r="B645" s="109" t="s">
        <v>1228</v>
      </c>
      <c r="C645" s="69" t="s">
        <v>1229</v>
      </c>
      <c r="D645" s="69" t="s">
        <v>1230</v>
      </c>
      <c r="E645" s="105">
        <v>0.98</v>
      </c>
      <c r="F645" s="69" t="s">
        <v>50</v>
      </c>
      <c r="G645" s="69">
        <v>1</v>
      </c>
      <c r="H645" s="74" t="s">
        <v>13</v>
      </c>
      <c r="I645" s="74" t="s">
        <v>1221</v>
      </c>
      <c r="J645" s="67" t="s">
        <v>592</v>
      </c>
    </row>
    <row r="646" hidden="1" customHeight="1" spans="1:10">
      <c r="A646" s="2">
        <v>5</v>
      </c>
      <c r="B646" s="69" t="s">
        <v>1231</v>
      </c>
      <c r="C646" s="69" t="s">
        <v>1232</v>
      </c>
      <c r="D646" s="69" t="s">
        <v>1233</v>
      </c>
      <c r="E646" s="80">
        <v>0.999</v>
      </c>
      <c r="F646" s="69" t="s">
        <v>45</v>
      </c>
      <c r="G646" s="69">
        <v>1</v>
      </c>
      <c r="H646" s="74" t="s">
        <v>13</v>
      </c>
      <c r="I646" s="74" t="s">
        <v>1221</v>
      </c>
      <c r="J646" s="67" t="s">
        <v>592</v>
      </c>
    </row>
    <row r="647" hidden="1" customHeight="1" spans="1:10">
      <c r="A647" s="2">
        <v>6</v>
      </c>
      <c r="B647" s="69" t="s">
        <v>1234</v>
      </c>
      <c r="C647" s="69" t="s">
        <v>1235</v>
      </c>
      <c r="D647" s="69" t="s">
        <v>1236</v>
      </c>
      <c r="E647" s="105">
        <v>0.7</v>
      </c>
      <c r="F647" s="69" t="s">
        <v>45</v>
      </c>
      <c r="G647" s="69">
        <v>2</v>
      </c>
      <c r="H647" s="74" t="s">
        <v>13</v>
      </c>
      <c r="I647" s="74" t="s">
        <v>1221</v>
      </c>
      <c r="J647" s="67" t="s">
        <v>592</v>
      </c>
    </row>
    <row r="648" hidden="1" customHeight="1" spans="1:10">
      <c r="A648" s="2">
        <v>7</v>
      </c>
      <c r="B648" s="109" t="s">
        <v>1237</v>
      </c>
      <c r="C648" s="69" t="s">
        <v>1235</v>
      </c>
      <c r="D648" s="69" t="s">
        <v>1236</v>
      </c>
      <c r="E648" s="105">
        <v>0.7</v>
      </c>
      <c r="F648" s="69" t="s">
        <v>110</v>
      </c>
      <c r="G648" s="69">
        <v>1</v>
      </c>
      <c r="H648" s="74" t="s">
        <v>13</v>
      </c>
      <c r="I648" s="74" t="s">
        <v>1221</v>
      </c>
      <c r="J648" s="67" t="s">
        <v>592</v>
      </c>
    </row>
    <row r="649" hidden="1" customHeight="1" spans="1:10">
      <c r="A649" s="2">
        <v>8</v>
      </c>
      <c r="B649" s="109" t="s">
        <v>1238</v>
      </c>
      <c r="C649" s="69" t="s">
        <v>1239</v>
      </c>
      <c r="D649" s="69" t="s">
        <v>1240</v>
      </c>
      <c r="E649" s="80">
        <v>0.99</v>
      </c>
      <c r="F649" s="69" t="s">
        <v>57</v>
      </c>
      <c r="G649" s="69">
        <v>1</v>
      </c>
      <c r="H649" s="74" t="s">
        <v>13</v>
      </c>
      <c r="I649" s="74" t="s">
        <v>1221</v>
      </c>
      <c r="J649" s="67" t="s">
        <v>592</v>
      </c>
    </row>
    <row r="650" hidden="1" customHeight="1" spans="1:10">
      <c r="A650" s="2">
        <v>9</v>
      </c>
      <c r="B650" s="109" t="s">
        <v>1241</v>
      </c>
      <c r="C650" s="69" t="s">
        <v>1242</v>
      </c>
      <c r="D650" s="69" t="s">
        <v>1243</v>
      </c>
      <c r="E650" s="105">
        <v>0.98</v>
      </c>
      <c r="F650" s="69" t="s">
        <v>57</v>
      </c>
      <c r="G650" s="69">
        <v>1</v>
      </c>
      <c r="H650" s="74" t="s">
        <v>13</v>
      </c>
      <c r="I650" s="74" t="s">
        <v>1221</v>
      </c>
      <c r="J650" s="67" t="s">
        <v>592</v>
      </c>
    </row>
    <row r="651" hidden="1" customHeight="1" spans="1:10">
      <c r="A651" s="2">
        <v>10</v>
      </c>
      <c r="B651" s="109" t="s">
        <v>1244</v>
      </c>
      <c r="C651" s="69" t="s">
        <v>1226</v>
      </c>
      <c r="D651" s="109" t="s">
        <v>1227</v>
      </c>
      <c r="E651" s="69"/>
      <c r="F651" s="69"/>
      <c r="G651" s="69">
        <v>1</v>
      </c>
      <c r="H651" s="74" t="s">
        <v>13</v>
      </c>
      <c r="I651" s="74" t="s">
        <v>1221</v>
      </c>
      <c r="J651" s="67" t="s">
        <v>592</v>
      </c>
    </row>
    <row r="652" hidden="1" customHeight="1" spans="1:10">
      <c r="A652" s="2">
        <v>11</v>
      </c>
      <c r="B652" s="109" t="s">
        <v>1245</v>
      </c>
      <c r="C652" s="69" t="s">
        <v>1246</v>
      </c>
      <c r="D652" s="69" t="s">
        <v>1247</v>
      </c>
      <c r="E652" s="105">
        <v>0.98</v>
      </c>
      <c r="F652" s="69" t="s">
        <v>57</v>
      </c>
      <c r="G652" s="69">
        <v>1</v>
      </c>
      <c r="H652" s="74" t="s">
        <v>13</v>
      </c>
      <c r="I652" s="74" t="s">
        <v>1221</v>
      </c>
      <c r="J652" s="67" t="s">
        <v>592</v>
      </c>
    </row>
    <row r="653" hidden="1" customHeight="1" spans="1:10">
      <c r="A653" s="2">
        <v>12</v>
      </c>
      <c r="B653" s="69" t="s">
        <v>1248</v>
      </c>
      <c r="C653" s="69" t="s">
        <v>1249</v>
      </c>
      <c r="D653" s="69" t="str">
        <f>_xlfn.DISPIMG("ID_08EE33A67AD74C5F9C641D8ED52299C6",1)</f>
        <v>=DISPIMG("ID_08EE33A67AD74C5F9C641D8ED52299C6",1)</v>
      </c>
      <c r="E653" s="105">
        <v>0.99</v>
      </c>
      <c r="F653" s="69" t="s">
        <v>68</v>
      </c>
      <c r="G653" s="69">
        <v>1</v>
      </c>
      <c r="H653" s="74" t="s">
        <v>13</v>
      </c>
      <c r="I653" s="74" t="s">
        <v>1221</v>
      </c>
      <c r="J653" s="67" t="s">
        <v>592</v>
      </c>
    </row>
    <row r="654" hidden="1" customHeight="1" spans="1:10">
      <c r="A654" s="2">
        <v>13</v>
      </c>
      <c r="B654" s="69" t="s">
        <v>1250</v>
      </c>
      <c r="C654" s="69" t="s">
        <v>1251</v>
      </c>
      <c r="D654" s="69" t="str">
        <f>_xlfn.DISPIMG("ID_C6798D66EF914AB9A03BA7D80C5805A4",1)</f>
        <v>=DISPIMG("ID_C6798D66EF914AB9A03BA7D80C5805A4",1)</v>
      </c>
      <c r="E654" s="105">
        <v>0.97</v>
      </c>
      <c r="F654" s="69" t="s">
        <v>50</v>
      </c>
      <c r="G654" s="69">
        <v>1</v>
      </c>
      <c r="H654" s="74" t="s">
        <v>13</v>
      </c>
      <c r="I654" s="74" t="s">
        <v>1221</v>
      </c>
      <c r="J654" s="67" t="s">
        <v>592</v>
      </c>
    </row>
    <row r="655" hidden="1" customHeight="1" spans="1:10">
      <c r="A655" s="2">
        <v>14</v>
      </c>
      <c r="B655" s="69" t="s">
        <v>1252</v>
      </c>
      <c r="C655" s="69" t="s">
        <v>1253</v>
      </c>
      <c r="D655" s="69" t="str">
        <f>_xlfn.DISPIMG("ID_9250D31B7A234D8DA0E6820E908C180B",1)</f>
        <v>=DISPIMG("ID_9250D31B7A234D8DA0E6820E908C180B",1)</v>
      </c>
      <c r="E655" s="69"/>
      <c r="F655" s="69" t="s">
        <v>175</v>
      </c>
      <c r="G655" s="69">
        <v>1</v>
      </c>
      <c r="H655" s="74" t="s">
        <v>13</v>
      </c>
      <c r="I655" s="74" t="s">
        <v>1221</v>
      </c>
      <c r="J655" s="67" t="s">
        <v>592</v>
      </c>
    </row>
    <row r="656" hidden="1" customHeight="1" spans="1:10">
      <c r="A656" s="2">
        <v>15</v>
      </c>
      <c r="B656" s="69" t="s">
        <v>1254</v>
      </c>
      <c r="C656" s="69" t="s">
        <v>1255</v>
      </c>
      <c r="D656" s="69" t="str">
        <f>_xlfn.DISPIMG("ID_E406FB97FBDE4A32BD34489DA4174ADC",1)</f>
        <v>=DISPIMG("ID_E406FB97FBDE4A32BD34489DA4174ADC",1)</v>
      </c>
      <c r="E656" s="105">
        <v>0.98</v>
      </c>
      <c r="F656" s="69" t="s">
        <v>50</v>
      </c>
      <c r="G656" s="69">
        <v>1</v>
      </c>
      <c r="H656" s="74" t="s">
        <v>13</v>
      </c>
      <c r="I656" s="74" t="s">
        <v>1221</v>
      </c>
      <c r="J656" s="67" t="s">
        <v>592</v>
      </c>
    </row>
    <row r="657" hidden="1" customHeight="1" spans="1:10">
      <c r="A657" s="2">
        <v>16</v>
      </c>
      <c r="B657" s="69" t="s">
        <v>1256</v>
      </c>
      <c r="C657" s="69" t="s">
        <v>1257</v>
      </c>
      <c r="D657" s="69" t="str">
        <f>_xlfn.DISPIMG("ID_A383D04B062E44A7A17098D87A575191",1)</f>
        <v>=DISPIMG("ID_A383D04B062E44A7A17098D87A575191",1)</v>
      </c>
      <c r="E657" s="69"/>
      <c r="F657" s="69" t="s">
        <v>23</v>
      </c>
      <c r="G657" s="69">
        <v>1</v>
      </c>
      <c r="H657" s="74" t="s">
        <v>13</v>
      </c>
      <c r="I657" s="74" t="s">
        <v>1221</v>
      </c>
      <c r="J657" s="67" t="s">
        <v>592</v>
      </c>
    </row>
    <row r="658" hidden="1" customHeight="1" spans="1:10">
      <c r="A658" s="2">
        <v>17</v>
      </c>
      <c r="B658" s="69" t="s">
        <v>1258</v>
      </c>
      <c r="C658" s="69" t="s">
        <v>1259</v>
      </c>
      <c r="D658" s="69" t="s">
        <v>1260</v>
      </c>
      <c r="E658" s="69"/>
      <c r="F658" s="69" t="s">
        <v>68</v>
      </c>
      <c r="G658" s="69">
        <v>1</v>
      </c>
      <c r="H658" s="74" t="s">
        <v>13</v>
      </c>
      <c r="I658" s="74" t="s">
        <v>1221</v>
      </c>
      <c r="J658" s="67" t="s">
        <v>592</v>
      </c>
    </row>
    <row r="659" hidden="1" customHeight="1" spans="1:10">
      <c r="A659" s="2">
        <v>18</v>
      </c>
      <c r="B659" s="69" t="s">
        <v>1261</v>
      </c>
      <c r="C659" s="69" t="s">
        <v>1262</v>
      </c>
      <c r="D659" s="69" t="s">
        <v>1263</v>
      </c>
      <c r="E659" s="105">
        <v>0.96</v>
      </c>
      <c r="F659" s="69" t="s">
        <v>57</v>
      </c>
      <c r="G659" s="69">
        <v>1</v>
      </c>
      <c r="H659" s="74" t="s">
        <v>13</v>
      </c>
      <c r="I659" s="74" t="s">
        <v>1221</v>
      </c>
      <c r="J659" s="67" t="s">
        <v>592</v>
      </c>
    </row>
    <row r="660" hidden="1" customHeight="1" spans="1:10">
      <c r="A660" s="2">
        <v>19</v>
      </c>
      <c r="B660" s="69" t="s">
        <v>1264</v>
      </c>
      <c r="C660" s="69" t="s">
        <v>1265</v>
      </c>
      <c r="D660" s="69" t="s">
        <v>1266</v>
      </c>
      <c r="E660" s="80">
        <v>0.998</v>
      </c>
      <c r="F660" s="69" t="s">
        <v>50</v>
      </c>
      <c r="G660" s="69">
        <v>1</v>
      </c>
      <c r="H660" s="74" t="s">
        <v>13</v>
      </c>
      <c r="I660" s="74" t="s">
        <v>1221</v>
      </c>
      <c r="J660" s="67" t="s">
        <v>592</v>
      </c>
    </row>
    <row r="661" hidden="1" customHeight="1" spans="1:10">
      <c r="A661" s="2">
        <v>20</v>
      </c>
      <c r="B661" s="69" t="s">
        <v>1267</v>
      </c>
      <c r="C661" s="69" t="s">
        <v>1268</v>
      </c>
      <c r="D661" s="69" t="str">
        <f>_xlfn.DISPIMG("ID_0CAA390E50A74E4DB3E10ACC1C24DEA3",1)</f>
        <v>=DISPIMG("ID_0CAA390E50A74E4DB3E10ACC1C24DEA3",1)</v>
      </c>
      <c r="E661" s="105">
        <v>0.9</v>
      </c>
      <c r="F661" s="69" t="s">
        <v>45</v>
      </c>
      <c r="G661" s="69">
        <v>4</v>
      </c>
      <c r="H661" s="74" t="s">
        <v>13</v>
      </c>
      <c r="I661" s="74" t="s">
        <v>1221</v>
      </c>
      <c r="J661" s="67" t="s">
        <v>592</v>
      </c>
    </row>
    <row r="662" hidden="1" customHeight="1" spans="1:10">
      <c r="A662" s="2">
        <v>22</v>
      </c>
      <c r="B662" s="109" t="s">
        <v>1269</v>
      </c>
      <c r="C662" s="69" t="s">
        <v>1270</v>
      </c>
      <c r="D662" s="69" t="str">
        <f>_xlfn.DISPIMG("ID_284FDB9BDDC84AF6A68CD6C0BBDF20EF",1)</f>
        <v>=DISPIMG("ID_284FDB9BDDC84AF6A68CD6C0BBDF20EF",1)</v>
      </c>
      <c r="E662" s="69" t="s">
        <v>443</v>
      </c>
      <c r="F662" s="69" t="s">
        <v>57</v>
      </c>
      <c r="G662" s="69">
        <v>1</v>
      </c>
      <c r="H662" s="74" t="s">
        <v>13</v>
      </c>
      <c r="I662" s="74" t="s">
        <v>1221</v>
      </c>
      <c r="J662" s="67" t="s">
        <v>592</v>
      </c>
    </row>
    <row r="663" hidden="1" customHeight="1" spans="1:10">
      <c r="A663" s="2">
        <v>23</v>
      </c>
      <c r="B663" s="69" t="s">
        <v>1222</v>
      </c>
      <c r="C663" s="70" t="s">
        <v>1223</v>
      </c>
      <c r="D663" s="69" t="s">
        <v>1224</v>
      </c>
      <c r="E663" s="69"/>
      <c r="F663" s="69"/>
      <c r="G663" s="69">
        <v>1</v>
      </c>
      <c r="H663" s="74" t="s">
        <v>13</v>
      </c>
      <c r="I663" s="74" t="s">
        <v>1221</v>
      </c>
      <c r="J663" s="67" t="s">
        <v>592</v>
      </c>
    </row>
    <row r="664" hidden="1" customHeight="1" spans="1:10">
      <c r="A664" s="2">
        <v>24</v>
      </c>
      <c r="B664" s="109" t="s">
        <v>1271</v>
      </c>
      <c r="C664" s="69" t="s">
        <v>1272</v>
      </c>
      <c r="D664" s="69" t="s">
        <v>1273</v>
      </c>
      <c r="E664" s="69"/>
      <c r="F664" s="69"/>
      <c r="G664" s="69">
        <v>1</v>
      </c>
      <c r="H664" s="74" t="s">
        <v>13</v>
      </c>
      <c r="I664" s="74" t="s">
        <v>1221</v>
      </c>
      <c r="J664" s="67" t="s">
        <v>592</v>
      </c>
    </row>
    <row r="665" hidden="1" customHeight="1" spans="1:10">
      <c r="A665" s="2">
        <v>25</v>
      </c>
      <c r="B665" s="69" t="s">
        <v>1274</v>
      </c>
      <c r="C665" s="110">
        <v>2139626</v>
      </c>
      <c r="D665" s="69" t="s">
        <v>1275</v>
      </c>
      <c r="E665" s="105">
        <v>0.98</v>
      </c>
      <c r="F665" s="69" t="s">
        <v>57</v>
      </c>
      <c r="G665" s="69">
        <v>1</v>
      </c>
      <c r="H665" s="74" t="s">
        <v>13</v>
      </c>
      <c r="I665" s="74" t="s">
        <v>1221</v>
      </c>
      <c r="J665" s="67" t="s">
        <v>592</v>
      </c>
    </row>
    <row r="666" hidden="1" customHeight="1" spans="1:10">
      <c r="A666" s="2">
        <v>26</v>
      </c>
      <c r="B666" s="69" t="s">
        <v>1276</v>
      </c>
      <c r="C666" s="70" t="s">
        <v>1277</v>
      </c>
      <c r="D666" s="69" t="str">
        <f>_xlfn.DISPIMG("ID_54F0520EA7C34C83888B27445117E0B8",1)</f>
        <v>=DISPIMG("ID_54F0520EA7C34C83888B27445117E0B8",1)</v>
      </c>
      <c r="E666" s="105">
        <v>0.99</v>
      </c>
      <c r="F666" s="69" t="s">
        <v>57</v>
      </c>
      <c r="G666" s="69">
        <v>1</v>
      </c>
      <c r="H666" s="74" t="s">
        <v>13</v>
      </c>
      <c r="I666" s="67" t="s">
        <v>1221</v>
      </c>
      <c r="J666" s="67" t="s">
        <v>592</v>
      </c>
    </row>
    <row r="667" hidden="1" customHeight="1" spans="1:10">
      <c r="A667" s="2">
        <v>27</v>
      </c>
      <c r="B667" s="69" t="s">
        <v>1278</v>
      </c>
      <c r="C667" s="69" t="s">
        <v>1279</v>
      </c>
      <c r="D667" s="111" t="str">
        <f>_xlfn.DISPIMG("ID_08769DA94F7D41B4B20DA46B2E01D6A1",1)</f>
        <v>=DISPIMG("ID_08769DA94F7D41B4B20DA46B2E01D6A1",1)</v>
      </c>
      <c r="E667" s="105">
        <v>0.99</v>
      </c>
      <c r="F667" s="69" t="s">
        <v>12</v>
      </c>
      <c r="G667" s="69">
        <v>1</v>
      </c>
      <c r="H667" s="74" t="s">
        <v>13</v>
      </c>
      <c r="I667" s="67" t="s">
        <v>1221</v>
      </c>
      <c r="J667" s="67" t="s">
        <v>592</v>
      </c>
    </row>
    <row r="668" hidden="1" customHeight="1" spans="1:10">
      <c r="A668" s="2">
        <v>28</v>
      </c>
      <c r="B668" s="69" t="s">
        <v>1280</v>
      </c>
      <c r="C668" s="69" t="s">
        <v>1281</v>
      </c>
      <c r="D668" s="69" t="str">
        <f>_xlfn.DISPIMG("ID_8102574619A444DCBB3D22680D510ED4",1)</f>
        <v>=DISPIMG("ID_8102574619A444DCBB3D22680D510ED4",1)</v>
      </c>
      <c r="E668" s="105">
        <v>0.99</v>
      </c>
      <c r="F668" s="69" t="s">
        <v>57</v>
      </c>
      <c r="G668" s="69">
        <v>1</v>
      </c>
      <c r="H668" s="74" t="s">
        <v>13</v>
      </c>
      <c r="I668" s="67" t="s">
        <v>1221</v>
      </c>
      <c r="J668" s="67" t="s">
        <v>592</v>
      </c>
    </row>
    <row r="669" hidden="1" customHeight="1" spans="1:10">
      <c r="A669" s="2">
        <v>29</v>
      </c>
      <c r="B669" s="67" t="s">
        <v>1282</v>
      </c>
      <c r="C669" s="67" t="s">
        <v>1283</v>
      </c>
      <c r="D669" s="68" t="str">
        <f>_xlfn.DISPIMG("ID_7EEF254320774FACB545BB91F148E8CA",1)</f>
        <v>=DISPIMG("ID_7EEF254320774FACB545BB91F148E8CA",1)</v>
      </c>
      <c r="E669" s="67" t="s">
        <v>636</v>
      </c>
      <c r="F669" s="67" t="s">
        <v>57</v>
      </c>
      <c r="G669" s="68">
        <v>1</v>
      </c>
      <c r="H669" s="68" t="s">
        <v>449</v>
      </c>
      <c r="I669" s="67" t="s">
        <v>1221</v>
      </c>
      <c r="J669" s="67" t="s">
        <v>592</v>
      </c>
    </row>
    <row r="670" hidden="1" customHeight="1" spans="1:10">
      <c r="A670" s="2">
        <v>30</v>
      </c>
      <c r="B670" s="68" t="s">
        <v>1284</v>
      </c>
      <c r="C670" s="67" t="s">
        <v>1285</v>
      </c>
      <c r="D670" s="68" t="str">
        <f>_xlfn.DISPIMG("ID_0F81C5BF338847A683837F6E835249F8",1)</f>
        <v>=DISPIMG("ID_0F81C5BF338847A683837F6E835249F8",1)</v>
      </c>
      <c r="E670" s="67" t="s">
        <v>1286</v>
      </c>
      <c r="F670" s="67" t="s">
        <v>45</v>
      </c>
      <c r="G670" s="68">
        <v>1</v>
      </c>
      <c r="H670" s="68"/>
      <c r="I670" s="67" t="s">
        <v>1221</v>
      </c>
      <c r="J670" s="67" t="s">
        <v>592</v>
      </c>
    </row>
    <row r="671" hidden="1" customHeight="1" spans="1:10">
      <c r="A671" s="2">
        <v>32</v>
      </c>
      <c r="B671" s="69" t="s">
        <v>1287</v>
      </c>
      <c r="C671" s="74" t="s">
        <v>1288</v>
      </c>
      <c r="D671" s="69" t="str">
        <f>_xlfn.DISPIMG("ID_85A4C7F7A7D94A2E91E8CA44D8646CDA",1)</f>
        <v>=DISPIMG("ID_85A4C7F7A7D94A2E91E8CA44D8646CDA",1)</v>
      </c>
      <c r="E671" s="69" t="s">
        <v>1289</v>
      </c>
      <c r="F671" s="69" t="s">
        <v>12</v>
      </c>
      <c r="G671" s="69">
        <v>1</v>
      </c>
      <c r="H671" s="74" t="s">
        <v>13</v>
      </c>
      <c r="I671" s="74" t="s">
        <v>1221</v>
      </c>
      <c r="J671" s="67" t="s">
        <v>595</v>
      </c>
    </row>
    <row r="672" hidden="1" customHeight="1" spans="1:10">
      <c r="A672" s="2">
        <v>35</v>
      </c>
      <c r="B672" s="69" t="s">
        <v>1290</v>
      </c>
      <c r="C672" s="69" t="s">
        <v>1291</v>
      </c>
      <c r="D672" s="69" t="s">
        <v>1292</v>
      </c>
      <c r="E672" s="69" t="s">
        <v>1293</v>
      </c>
      <c r="F672" s="69"/>
      <c r="G672" s="69">
        <v>1</v>
      </c>
      <c r="H672" s="67" t="s">
        <v>13</v>
      </c>
      <c r="I672" s="74" t="s">
        <v>1221</v>
      </c>
      <c r="J672" s="67" t="s">
        <v>1109</v>
      </c>
    </row>
    <row r="673" hidden="1" customHeight="1" spans="1:10">
      <c r="A673" s="2">
        <v>36</v>
      </c>
      <c r="B673" s="69" t="s">
        <v>1294</v>
      </c>
      <c r="C673" s="69" t="s">
        <v>1295</v>
      </c>
      <c r="D673" s="112" t="s">
        <v>1296</v>
      </c>
      <c r="E673" s="80">
        <v>0.995</v>
      </c>
      <c r="F673" s="69" t="s">
        <v>57</v>
      </c>
      <c r="G673" s="69">
        <v>1</v>
      </c>
      <c r="H673" s="67" t="s">
        <v>13</v>
      </c>
      <c r="I673" s="74" t="s">
        <v>1221</v>
      </c>
      <c r="J673" s="67" t="s">
        <v>595</v>
      </c>
    </row>
    <row r="674" hidden="1" customHeight="1" spans="1:10">
      <c r="A674" s="2">
        <v>39</v>
      </c>
      <c r="B674" s="67" t="s">
        <v>1297</v>
      </c>
      <c r="C674" s="67" t="s">
        <v>1291</v>
      </c>
      <c r="D674" s="67" t="s">
        <v>1292</v>
      </c>
      <c r="E674" s="68"/>
      <c r="F674" s="68"/>
      <c r="G674" s="69">
        <v>1</v>
      </c>
      <c r="H674" s="74" t="s">
        <v>13</v>
      </c>
      <c r="I674" s="67" t="s">
        <v>1221</v>
      </c>
      <c r="J674" s="67" t="s">
        <v>1109</v>
      </c>
    </row>
    <row r="675" hidden="1" customHeight="1" spans="1:13">
      <c r="A675" s="2">
        <v>40</v>
      </c>
      <c r="B675" s="67" t="s">
        <v>1298</v>
      </c>
      <c r="C675" s="67" t="s">
        <v>1295</v>
      </c>
      <c r="D675" s="68"/>
      <c r="E675" s="68"/>
      <c r="F675" s="68"/>
      <c r="G675" s="69">
        <v>1</v>
      </c>
      <c r="H675" s="67" t="s">
        <v>13</v>
      </c>
      <c r="I675" s="74" t="s">
        <v>1221</v>
      </c>
      <c r="J675" s="67" t="s">
        <v>595</v>
      </c>
      <c r="M675" s="5"/>
    </row>
    <row r="676" hidden="1" customHeight="1" spans="1:10">
      <c r="A676" s="2">
        <v>41</v>
      </c>
      <c r="B676" s="67" t="s">
        <v>1299</v>
      </c>
      <c r="C676" s="67" t="s">
        <v>1300</v>
      </c>
      <c r="D676" s="67" t="s">
        <v>1301</v>
      </c>
      <c r="E676" s="68"/>
      <c r="F676" s="68"/>
      <c r="G676" s="69">
        <v>1</v>
      </c>
      <c r="H676" s="67" t="s">
        <v>13</v>
      </c>
      <c r="I676" s="74" t="s">
        <v>1221</v>
      </c>
      <c r="J676" s="67" t="s">
        <v>595</v>
      </c>
    </row>
    <row r="677" hidden="1" customHeight="1" spans="1:10">
      <c r="A677" s="2">
        <v>42</v>
      </c>
      <c r="B677" s="67" t="s">
        <v>1302</v>
      </c>
      <c r="C677" s="67" t="s">
        <v>1291</v>
      </c>
      <c r="D677" s="67" t="s">
        <v>1303</v>
      </c>
      <c r="E677" s="68"/>
      <c r="F677" s="68"/>
      <c r="G677" s="69">
        <v>1</v>
      </c>
      <c r="H677" s="67" t="s">
        <v>13</v>
      </c>
      <c r="I677" s="67" t="s">
        <v>1221</v>
      </c>
      <c r="J677" s="67" t="s">
        <v>595</v>
      </c>
    </row>
    <row r="678" hidden="1" customHeight="1" spans="1:10">
      <c r="A678" s="2">
        <v>43</v>
      </c>
      <c r="B678" s="67" t="s">
        <v>1304</v>
      </c>
      <c r="C678" s="67" t="s">
        <v>1305</v>
      </c>
      <c r="D678" s="68" t="str">
        <f>_xlfn.DISPIMG("ID_8C197FBB9ADD4FF3858009CF5FAFF18D",1)</f>
        <v>=DISPIMG("ID_8C197FBB9ADD4FF3858009CF5FAFF18D",1)</v>
      </c>
      <c r="E678" s="68"/>
      <c r="F678" s="67" t="s">
        <v>45</v>
      </c>
      <c r="G678" s="68">
        <v>1</v>
      </c>
      <c r="H678" s="67" t="s">
        <v>13</v>
      </c>
      <c r="I678" s="74" t="s">
        <v>1221</v>
      </c>
      <c r="J678" s="67" t="s">
        <v>595</v>
      </c>
    </row>
    <row r="679" hidden="1" customHeight="1" spans="1:10">
      <c r="A679" s="2">
        <v>44</v>
      </c>
      <c r="B679" s="69" t="s">
        <v>1274</v>
      </c>
      <c r="C679" s="113">
        <v>2139626</v>
      </c>
      <c r="D679" s="73" t="s">
        <v>1275</v>
      </c>
      <c r="E679" s="105">
        <v>0.99</v>
      </c>
      <c r="F679" s="69" t="s">
        <v>57</v>
      </c>
      <c r="G679" s="69">
        <v>1</v>
      </c>
      <c r="H679" s="74" t="s">
        <v>13</v>
      </c>
      <c r="I679" s="74" t="s">
        <v>1221</v>
      </c>
      <c r="J679" s="67" t="s">
        <v>1306</v>
      </c>
    </row>
    <row r="680" hidden="1" customHeight="1" spans="1:10">
      <c r="A680" s="2">
        <v>45</v>
      </c>
      <c r="B680" s="69" t="s">
        <v>1307</v>
      </c>
      <c r="C680" s="73" t="s">
        <v>1308</v>
      </c>
      <c r="D680" s="73" t="s">
        <v>1309</v>
      </c>
      <c r="E680" s="69" t="s">
        <v>443</v>
      </c>
      <c r="F680" s="69" t="s">
        <v>57</v>
      </c>
      <c r="G680" s="69">
        <v>1</v>
      </c>
      <c r="H680" s="74" t="s">
        <v>13</v>
      </c>
      <c r="I680" s="74" t="s">
        <v>1221</v>
      </c>
      <c r="J680" s="67" t="s">
        <v>1306</v>
      </c>
    </row>
    <row r="681" hidden="1" customHeight="1" spans="1:10">
      <c r="A681" s="2">
        <v>46</v>
      </c>
      <c r="B681" s="69" t="s">
        <v>1310</v>
      </c>
      <c r="C681" s="73" t="s">
        <v>1311</v>
      </c>
      <c r="D681" s="73" t="s">
        <v>1312</v>
      </c>
      <c r="E681" s="69"/>
      <c r="F681" s="69" t="s">
        <v>57</v>
      </c>
      <c r="G681" s="69">
        <v>1</v>
      </c>
      <c r="H681" s="74" t="s">
        <v>13</v>
      </c>
      <c r="I681" s="74" t="s">
        <v>1221</v>
      </c>
      <c r="J681" s="67" t="s">
        <v>1306</v>
      </c>
    </row>
    <row r="682" ht="41" hidden="1" customHeight="1" spans="1:10">
      <c r="A682" s="2">
        <v>47</v>
      </c>
      <c r="B682" s="69" t="s">
        <v>1313</v>
      </c>
      <c r="C682" s="73" t="s">
        <v>1314</v>
      </c>
      <c r="D682" s="73" t="s">
        <v>1315</v>
      </c>
      <c r="E682" s="69" t="s">
        <v>443</v>
      </c>
      <c r="F682" s="69" t="s">
        <v>57</v>
      </c>
      <c r="G682" s="69">
        <v>2</v>
      </c>
      <c r="H682" s="74" t="s">
        <v>13</v>
      </c>
      <c r="I682" s="74" t="s">
        <v>1221</v>
      </c>
      <c r="J682" s="67" t="s">
        <v>1306</v>
      </c>
    </row>
    <row r="683" ht="48" hidden="1" customHeight="1" spans="1:10">
      <c r="A683" s="2">
        <v>48</v>
      </c>
      <c r="B683" s="69" t="s">
        <v>1316</v>
      </c>
      <c r="C683" s="114" t="s">
        <v>1317</v>
      </c>
      <c r="D683" s="73" t="s">
        <v>1318</v>
      </c>
      <c r="E683" s="69" t="s">
        <v>443</v>
      </c>
      <c r="F683" s="69" t="s">
        <v>57</v>
      </c>
      <c r="G683" s="69">
        <v>2</v>
      </c>
      <c r="H683" s="74" t="s">
        <v>13</v>
      </c>
      <c r="I683" s="74" t="s">
        <v>1221</v>
      </c>
      <c r="J683" s="67" t="s">
        <v>1306</v>
      </c>
    </row>
    <row r="684" hidden="1" customHeight="1" spans="1:10">
      <c r="A684" s="2">
        <v>49</v>
      </c>
      <c r="B684" s="69" t="s">
        <v>1319</v>
      </c>
      <c r="C684" s="73" t="s">
        <v>1320</v>
      </c>
      <c r="D684" s="73" t="s">
        <v>1321</v>
      </c>
      <c r="E684" s="80">
        <v>0.997</v>
      </c>
      <c r="F684" s="69" t="s">
        <v>57</v>
      </c>
      <c r="G684" s="69">
        <v>1</v>
      </c>
      <c r="H684" s="74" t="s">
        <v>13</v>
      </c>
      <c r="I684" s="74" t="s">
        <v>1221</v>
      </c>
      <c r="J684" s="67" t="s">
        <v>1306</v>
      </c>
    </row>
    <row r="685" hidden="1" customHeight="1" spans="1:10">
      <c r="A685" s="2">
        <v>50</v>
      </c>
      <c r="B685" s="7" t="s">
        <v>1322</v>
      </c>
      <c r="C685" s="10" t="s">
        <v>1323</v>
      </c>
      <c r="D685" s="10" t="s">
        <v>1230</v>
      </c>
      <c r="E685" s="7" t="s">
        <v>443</v>
      </c>
      <c r="F685" s="7" t="s">
        <v>57</v>
      </c>
      <c r="G685" s="7">
        <v>1</v>
      </c>
      <c r="H685" s="11" t="s">
        <v>13</v>
      </c>
      <c r="I685" s="11" t="s">
        <v>1221</v>
      </c>
      <c r="J685" s="5" t="s">
        <v>1306</v>
      </c>
    </row>
    <row r="686" hidden="1" customHeight="1" spans="1:10">
      <c r="A686" s="2">
        <v>51</v>
      </c>
      <c r="B686" s="7" t="s">
        <v>1324</v>
      </c>
      <c r="C686" s="10" t="s">
        <v>1325</v>
      </c>
      <c r="D686" s="10" t="s">
        <v>1230</v>
      </c>
      <c r="E686" s="7" t="s">
        <v>443</v>
      </c>
      <c r="F686" s="7" t="s">
        <v>57</v>
      </c>
      <c r="G686" s="7">
        <v>1</v>
      </c>
      <c r="H686" s="11" t="s">
        <v>13</v>
      </c>
      <c r="I686" s="74" t="s">
        <v>1221</v>
      </c>
      <c r="J686" s="5" t="s">
        <v>1306</v>
      </c>
    </row>
    <row r="687" hidden="1" customHeight="1" spans="1:10">
      <c r="A687" s="2">
        <v>52</v>
      </c>
      <c r="B687" s="7" t="s">
        <v>1326</v>
      </c>
      <c r="C687" s="53" t="s">
        <v>1327</v>
      </c>
      <c r="D687" s="10" t="s">
        <v>1328</v>
      </c>
      <c r="E687" s="23">
        <v>0.99</v>
      </c>
      <c r="F687" s="7" t="s">
        <v>57</v>
      </c>
      <c r="G687" s="7">
        <v>1</v>
      </c>
      <c r="H687" s="11" t="s">
        <v>13</v>
      </c>
      <c r="I687" s="11" t="s">
        <v>1221</v>
      </c>
      <c r="J687" s="5" t="s">
        <v>1306</v>
      </c>
    </row>
    <row r="688" hidden="1" customHeight="1" spans="1:10">
      <c r="A688" s="2">
        <v>53</v>
      </c>
      <c r="B688" s="7" t="s">
        <v>1329</v>
      </c>
      <c r="C688" s="10" t="s">
        <v>1330</v>
      </c>
      <c r="D688" s="10" t="s">
        <v>1194</v>
      </c>
      <c r="E688" s="7" t="s">
        <v>1331</v>
      </c>
      <c r="F688" s="7" t="s">
        <v>57</v>
      </c>
      <c r="G688" s="7">
        <v>2</v>
      </c>
      <c r="H688" s="11" t="s">
        <v>13</v>
      </c>
      <c r="I688" s="11" t="s">
        <v>1221</v>
      </c>
      <c r="J688" s="5" t="s">
        <v>1306</v>
      </c>
    </row>
    <row r="689" hidden="1" customHeight="1" spans="1:10">
      <c r="A689" s="2">
        <v>54</v>
      </c>
      <c r="B689" s="7" t="s">
        <v>1332</v>
      </c>
      <c r="C689" s="10" t="s">
        <v>1333</v>
      </c>
      <c r="D689" s="10" t="s">
        <v>1334</v>
      </c>
      <c r="E689" s="7" t="s">
        <v>443</v>
      </c>
      <c r="F689" s="7" t="s">
        <v>50</v>
      </c>
      <c r="G689" s="7">
        <v>1</v>
      </c>
      <c r="H689" s="11" t="s">
        <v>13</v>
      </c>
      <c r="I689" s="11" t="s">
        <v>1221</v>
      </c>
      <c r="J689" s="2" t="s">
        <v>1335</v>
      </c>
    </row>
    <row r="690" hidden="1" customHeight="1" spans="1:10">
      <c r="A690" s="2">
        <v>55</v>
      </c>
      <c r="B690" s="7" t="s">
        <v>1280</v>
      </c>
      <c r="C690" s="10" t="s">
        <v>1336</v>
      </c>
      <c r="D690" s="10" t="s">
        <v>1337</v>
      </c>
      <c r="E690" s="7" t="s">
        <v>443</v>
      </c>
      <c r="F690" s="7" t="s">
        <v>57</v>
      </c>
      <c r="G690" s="7">
        <v>2</v>
      </c>
      <c r="H690" s="11" t="s">
        <v>13</v>
      </c>
      <c r="I690" s="11" t="s">
        <v>1221</v>
      </c>
      <c r="J690" s="2" t="s">
        <v>1335</v>
      </c>
    </row>
    <row r="691" hidden="1" customHeight="1" spans="1:10">
      <c r="A691" s="2">
        <v>56</v>
      </c>
      <c r="B691" s="7" t="s">
        <v>1338</v>
      </c>
      <c r="C691" s="10" t="s">
        <v>1339</v>
      </c>
      <c r="D691" s="10" t="s">
        <v>1340</v>
      </c>
      <c r="E691" s="7" t="s">
        <v>443</v>
      </c>
      <c r="F691" s="7" t="s">
        <v>57</v>
      </c>
      <c r="G691" s="7">
        <v>2</v>
      </c>
      <c r="H691" s="11" t="s">
        <v>13</v>
      </c>
      <c r="I691" s="11" t="s">
        <v>1221</v>
      </c>
      <c r="J691" s="2" t="s">
        <v>1335</v>
      </c>
    </row>
    <row r="692" hidden="1" customHeight="1" spans="1:10">
      <c r="A692" s="2">
        <v>57</v>
      </c>
      <c r="B692" s="7" t="s">
        <v>1341</v>
      </c>
      <c r="C692" s="10" t="s">
        <v>1342</v>
      </c>
      <c r="D692" s="10" t="s">
        <v>1343</v>
      </c>
      <c r="E692" s="23"/>
      <c r="F692" s="7" t="s">
        <v>50</v>
      </c>
      <c r="G692" s="7">
        <v>1</v>
      </c>
      <c r="H692" s="11" t="s">
        <v>13</v>
      </c>
      <c r="I692" s="11" t="s">
        <v>1221</v>
      </c>
      <c r="J692" s="2" t="s">
        <v>1335</v>
      </c>
    </row>
    <row r="693" hidden="1" customHeight="1" spans="1:10">
      <c r="A693" s="2">
        <v>58</v>
      </c>
      <c r="B693" s="7" t="s">
        <v>1341</v>
      </c>
      <c r="C693" s="10" t="s">
        <v>1342</v>
      </c>
      <c r="D693" s="10" t="s">
        <v>1343</v>
      </c>
      <c r="E693" s="7" t="s">
        <v>443</v>
      </c>
      <c r="F693" s="7" t="s">
        <v>57</v>
      </c>
      <c r="G693" s="7">
        <v>2</v>
      </c>
      <c r="H693" s="11" t="s">
        <v>13</v>
      </c>
      <c r="I693" s="11" t="s">
        <v>1221</v>
      </c>
      <c r="J693" s="2" t="s">
        <v>1335</v>
      </c>
    </row>
    <row r="694" hidden="1" customHeight="1" spans="1:10">
      <c r="A694" s="2">
        <v>59</v>
      </c>
      <c r="B694" s="7" t="s">
        <v>1344</v>
      </c>
      <c r="C694" s="10" t="s">
        <v>1345</v>
      </c>
      <c r="D694" s="10" t="s">
        <v>1346</v>
      </c>
      <c r="E694" s="7" t="s">
        <v>56</v>
      </c>
      <c r="F694" s="7" t="s">
        <v>57</v>
      </c>
      <c r="G694" s="7">
        <v>2</v>
      </c>
      <c r="H694" s="11" t="s">
        <v>13</v>
      </c>
      <c r="I694" s="11" t="s">
        <v>1221</v>
      </c>
      <c r="J694" s="5" t="s">
        <v>1306</v>
      </c>
    </row>
    <row r="695" hidden="1" customHeight="1" spans="1:10">
      <c r="A695" s="2">
        <v>60</v>
      </c>
      <c r="B695" s="7" t="s">
        <v>1347</v>
      </c>
      <c r="C695" s="10" t="s">
        <v>1348</v>
      </c>
      <c r="D695" s="10" t="s">
        <v>1349</v>
      </c>
      <c r="E695" s="7"/>
      <c r="F695" s="7"/>
      <c r="G695" s="7">
        <v>1</v>
      </c>
      <c r="H695" s="11" t="s">
        <v>13</v>
      </c>
      <c r="I695" s="11" t="s">
        <v>1221</v>
      </c>
      <c r="J695" s="5" t="s">
        <v>1306</v>
      </c>
    </row>
    <row r="696" hidden="1" customHeight="1" spans="1:10">
      <c r="A696" s="2">
        <v>61</v>
      </c>
      <c r="B696" s="7" t="s">
        <v>1261</v>
      </c>
      <c r="C696" s="10" t="s">
        <v>1262</v>
      </c>
      <c r="D696" s="10" t="s">
        <v>1263</v>
      </c>
      <c r="E696" s="22">
        <v>0.96</v>
      </c>
      <c r="F696" s="7" t="s">
        <v>57</v>
      </c>
      <c r="G696" s="7">
        <v>1</v>
      </c>
      <c r="H696" s="11" t="s">
        <v>13</v>
      </c>
      <c r="I696" s="11" t="s">
        <v>1221</v>
      </c>
      <c r="J696" s="5" t="s">
        <v>1306</v>
      </c>
    </row>
    <row r="697" hidden="1" customHeight="1" spans="1:10">
      <c r="A697" s="2">
        <v>62</v>
      </c>
      <c r="B697" s="7" t="s">
        <v>1350</v>
      </c>
      <c r="C697" s="18" t="s">
        <v>1351</v>
      </c>
      <c r="D697" s="11" t="s">
        <v>1352</v>
      </c>
      <c r="E697" s="7">
        <v>99.9</v>
      </c>
      <c r="F697" s="7" t="s">
        <v>45</v>
      </c>
      <c r="G697" s="7">
        <v>1</v>
      </c>
      <c r="H697" s="11" t="s">
        <v>13</v>
      </c>
      <c r="I697" s="11" t="s">
        <v>1221</v>
      </c>
      <c r="J697" s="5" t="s">
        <v>1306</v>
      </c>
    </row>
    <row r="698" hidden="1" customHeight="1" spans="1:10">
      <c r="A698" s="2">
        <v>63</v>
      </c>
      <c r="B698" s="7" t="s">
        <v>1353</v>
      </c>
      <c r="C698" s="10" t="s">
        <v>1354</v>
      </c>
      <c r="D698" s="10" t="s">
        <v>1355</v>
      </c>
      <c r="E698" s="7">
        <v>98</v>
      </c>
      <c r="F698" s="7" t="s">
        <v>57</v>
      </c>
      <c r="G698" s="7">
        <v>1</v>
      </c>
      <c r="H698" s="11" t="s">
        <v>13</v>
      </c>
      <c r="I698" s="11" t="s">
        <v>1221</v>
      </c>
      <c r="J698" s="5" t="s">
        <v>1306</v>
      </c>
    </row>
    <row r="699" hidden="1" customHeight="1" spans="1:10">
      <c r="A699" s="2">
        <v>64</v>
      </c>
      <c r="B699" s="7" t="s">
        <v>1356</v>
      </c>
      <c r="C699" s="10" t="s">
        <v>1357</v>
      </c>
      <c r="D699" s="10" t="s">
        <v>1358</v>
      </c>
      <c r="E699" s="7" t="s">
        <v>443</v>
      </c>
      <c r="F699" s="7" t="s">
        <v>57</v>
      </c>
      <c r="G699" s="7">
        <v>1</v>
      </c>
      <c r="H699" s="11" t="s">
        <v>13</v>
      </c>
      <c r="I699" s="11" t="s">
        <v>1221</v>
      </c>
      <c r="J699" s="5" t="s">
        <v>1306</v>
      </c>
    </row>
    <row r="700" hidden="1" customHeight="1" spans="1:10">
      <c r="A700" s="2">
        <v>65</v>
      </c>
      <c r="B700" s="7" t="s">
        <v>1359</v>
      </c>
      <c r="C700" s="10" t="s">
        <v>1360</v>
      </c>
      <c r="D700" s="10" t="s">
        <v>1343</v>
      </c>
      <c r="E700" s="7"/>
      <c r="F700" s="7" t="s">
        <v>50</v>
      </c>
      <c r="G700" s="7">
        <v>1</v>
      </c>
      <c r="H700" s="11" t="s">
        <v>13</v>
      </c>
      <c r="I700" s="11" t="s">
        <v>1221</v>
      </c>
      <c r="J700" s="5" t="s">
        <v>1306</v>
      </c>
    </row>
    <row r="701" hidden="1" customHeight="1" spans="1:10">
      <c r="A701" s="2">
        <v>66</v>
      </c>
      <c r="B701" s="7" t="s">
        <v>1361</v>
      </c>
      <c r="C701" s="7" t="s">
        <v>1362</v>
      </c>
      <c r="D701" s="7" t="s">
        <v>1363</v>
      </c>
      <c r="E701" s="23">
        <v>0.995</v>
      </c>
      <c r="F701" s="7" t="s">
        <v>57</v>
      </c>
      <c r="G701" s="7">
        <v>1</v>
      </c>
      <c r="H701" s="11" t="s">
        <v>13</v>
      </c>
      <c r="I701" s="11" t="s">
        <v>1221</v>
      </c>
      <c r="J701" s="5" t="s">
        <v>1306</v>
      </c>
    </row>
    <row r="702" hidden="1" customHeight="1" spans="1:10">
      <c r="A702" s="2">
        <v>67</v>
      </c>
      <c r="B702" s="7" t="s">
        <v>1264</v>
      </c>
      <c r="C702" s="39" t="s">
        <v>1265</v>
      </c>
      <c r="D702" s="7" t="s">
        <v>1266</v>
      </c>
      <c r="E702" s="7"/>
      <c r="F702" s="7"/>
      <c r="G702" s="7">
        <v>1</v>
      </c>
      <c r="H702" s="11" t="s">
        <v>13</v>
      </c>
      <c r="I702" s="11" t="s">
        <v>1221</v>
      </c>
      <c r="J702" s="5" t="s">
        <v>1306</v>
      </c>
    </row>
    <row r="703" hidden="1" customHeight="1" spans="1:10">
      <c r="A703" s="2">
        <v>68</v>
      </c>
      <c r="B703" s="7" t="s">
        <v>1364</v>
      </c>
      <c r="C703" s="7" t="s">
        <v>1365</v>
      </c>
      <c r="D703" s="7" t="s">
        <v>1366</v>
      </c>
      <c r="E703" s="22">
        <v>0.98</v>
      </c>
      <c r="F703" s="7" t="s">
        <v>57</v>
      </c>
      <c r="G703" s="7">
        <v>1</v>
      </c>
      <c r="H703" s="11" t="s">
        <v>117</v>
      </c>
      <c r="I703" s="11" t="s">
        <v>1221</v>
      </c>
      <c r="J703" s="5" t="s">
        <v>1306</v>
      </c>
    </row>
    <row r="704" hidden="1" customHeight="1" spans="1:10">
      <c r="A704" s="2">
        <v>69</v>
      </c>
      <c r="B704" s="7" t="s">
        <v>1367</v>
      </c>
      <c r="C704" s="39" t="s">
        <v>1368</v>
      </c>
      <c r="D704" s="7" t="str">
        <f>_xlfn.DISPIMG("ID_A04C6572E938461F907209277A661F68",1)</f>
        <v>=DISPIMG("ID_A04C6572E938461F907209277A661F68",1)</v>
      </c>
      <c r="E704" s="7"/>
      <c r="F704" s="7" t="s">
        <v>57</v>
      </c>
      <c r="G704" s="7">
        <v>3</v>
      </c>
      <c r="H704" s="11" t="s">
        <v>117</v>
      </c>
      <c r="I704" s="11" t="s">
        <v>1221</v>
      </c>
      <c r="J704" s="5" t="s">
        <v>1306</v>
      </c>
    </row>
    <row r="705" hidden="1" customHeight="1" spans="1:10">
      <c r="A705" s="2">
        <v>70</v>
      </c>
      <c r="B705" s="7" t="s">
        <v>1369</v>
      </c>
      <c r="C705" s="39" t="s">
        <v>1370</v>
      </c>
      <c r="D705" s="7" t="str">
        <f>_xlfn.DISPIMG("ID_E64A05387D8A47E5AC54E184F0F442A0",1)</f>
        <v>=DISPIMG("ID_E64A05387D8A47E5AC54E184F0F442A0",1)</v>
      </c>
      <c r="E705" s="7" t="s">
        <v>1371</v>
      </c>
      <c r="F705" s="7"/>
      <c r="G705" s="7">
        <v>1</v>
      </c>
      <c r="H705" s="11" t="s">
        <v>117</v>
      </c>
      <c r="I705" s="11" t="s">
        <v>1221</v>
      </c>
      <c r="J705" s="5" t="s">
        <v>1306</v>
      </c>
    </row>
    <row r="706" hidden="1" customHeight="1" spans="1:10">
      <c r="A706" s="2">
        <v>71</v>
      </c>
      <c r="B706" s="7" t="s">
        <v>1369</v>
      </c>
      <c r="C706" s="39" t="s">
        <v>1370</v>
      </c>
      <c r="D706" s="7" t="str">
        <f>_xlfn.DISPIMG("ID_AA79C4E8C29F478C98E32B836C96272B",1)</f>
        <v>=DISPIMG("ID_AA79C4E8C29F478C98E32B836C96272B",1)</v>
      </c>
      <c r="E706" s="7" t="s">
        <v>1372</v>
      </c>
      <c r="F706" s="7"/>
      <c r="G706" s="7">
        <v>1</v>
      </c>
      <c r="H706" s="11" t="s">
        <v>117</v>
      </c>
      <c r="I706" s="11" t="s">
        <v>1221</v>
      </c>
      <c r="J706" s="5" t="s">
        <v>1306</v>
      </c>
    </row>
    <row r="707" hidden="1" customHeight="1" spans="1:10">
      <c r="A707" s="2">
        <v>72</v>
      </c>
      <c r="B707" s="7" t="s">
        <v>1373</v>
      </c>
      <c r="C707" s="7" t="s">
        <v>1374</v>
      </c>
      <c r="D707" s="7" t="s">
        <v>1375</v>
      </c>
      <c r="E707" s="22">
        <v>0.98</v>
      </c>
      <c r="F707" s="7" t="s">
        <v>50</v>
      </c>
      <c r="G707" s="7">
        <v>1</v>
      </c>
      <c r="H707" s="11" t="s">
        <v>13</v>
      </c>
      <c r="I707" s="11" t="s">
        <v>1221</v>
      </c>
      <c r="J707" s="5" t="s">
        <v>1306</v>
      </c>
    </row>
    <row r="708" hidden="1" customHeight="1" spans="1:10">
      <c r="A708" s="2">
        <v>73</v>
      </c>
      <c r="B708" s="7" t="s">
        <v>1376</v>
      </c>
      <c r="C708" s="7" t="s">
        <v>1193</v>
      </c>
      <c r="D708" s="7" t="s">
        <v>1194</v>
      </c>
      <c r="E708" s="22">
        <v>0.96</v>
      </c>
      <c r="F708" s="7" t="s">
        <v>57</v>
      </c>
      <c r="G708" s="7">
        <v>1</v>
      </c>
      <c r="H708" s="11" t="s">
        <v>13</v>
      </c>
      <c r="I708" s="11" t="s">
        <v>1221</v>
      </c>
      <c r="J708" s="5" t="s">
        <v>1306</v>
      </c>
    </row>
    <row r="709" hidden="1" customHeight="1" spans="1:10">
      <c r="A709" s="2">
        <v>74</v>
      </c>
      <c r="B709" s="7" t="s">
        <v>1377</v>
      </c>
      <c r="C709" s="7" t="s">
        <v>1378</v>
      </c>
      <c r="D709" s="7" t="str">
        <f>_xlfn.DISPIMG("ID_E2EE666AFF8E4FA780FD3B9FA1B13041",1)</f>
        <v>=DISPIMG("ID_E2EE666AFF8E4FA780FD3B9FA1B13041",1)</v>
      </c>
      <c r="E709" s="22">
        <v>0.99</v>
      </c>
      <c r="F709" s="7" t="s">
        <v>57</v>
      </c>
      <c r="G709" s="7">
        <v>1</v>
      </c>
      <c r="H709" s="11" t="s">
        <v>13</v>
      </c>
      <c r="I709" s="11" t="s">
        <v>1221</v>
      </c>
      <c r="J709" s="5" t="s">
        <v>1306</v>
      </c>
    </row>
    <row r="710" hidden="1" customHeight="1" spans="1:10">
      <c r="A710" s="2">
        <v>75</v>
      </c>
      <c r="B710" s="7" t="s">
        <v>1341</v>
      </c>
      <c r="C710" s="39" t="s">
        <v>1379</v>
      </c>
      <c r="D710" s="7" t="s">
        <v>1343</v>
      </c>
      <c r="E710" s="23">
        <v>0.998</v>
      </c>
      <c r="F710" s="7" t="s">
        <v>57</v>
      </c>
      <c r="G710" s="7">
        <v>1</v>
      </c>
      <c r="H710" s="11" t="s">
        <v>13</v>
      </c>
      <c r="I710" s="11" t="s">
        <v>1221</v>
      </c>
      <c r="J710" s="5" t="s">
        <v>1306</v>
      </c>
    </row>
    <row r="711" hidden="1" customHeight="1" spans="1:10">
      <c r="A711" s="2">
        <v>76</v>
      </c>
      <c r="B711" s="7" t="s">
        <v>1344</v>
      </c>
      <c r="C711" s="7" t="s">
        <v>1345</v>
      </c>
      <c r="D711" s="7" t="str">
        <f>_xlfn.DISPIMG("ID_F23535ABA1EA436CB1FB44F46DDDF2BB",1)</f>
        <v>=DISPIMG("ID_F23535ABA1EA436CB1FB44F46DDDF2BB",1)</v>
      </c>
      <c r="E711" s="22">
        <v>0.99</v>
      </c>
      <c r="F711" s="7" t="s">
        <v>57</v>
      </c>
      <c r="G711" s="7">
        <v>1</v>
      </c>
      <c r="H711" s="11" t="s">
        <v>13</v>
      </c>
      <c r="I711" s="11" t="s">
        <v>1221</v>
      </c>
      <c r="J711" s="5" t="s">
        <v>1306</v>
      </c>
    </row>
    <row r="712" hidden="1" customHeight="1" spans="1:10">
      <c r="A712" s="2">
        <v>77</v>
      </c>
      <c r="B712" s="7" t="s">
        <v>1380</v>
      </c>
      <c r="C712" s="7" t="s">
        <v>1381</v>
      </c>
      <c r="D712" s="7" t="str">
        <f>_xlfn.DISPIMG("ID_CD0BE73A14354874AA47B5FDC5CDD145",1)</f>
        <v>=DISPIMG("ID_CD0BE73A14354874AA47B5FDC5CDD145",1)</v>
      </c>
      <c r="E712" s="22">
        <v>0.99</v>
      </c>
      <c r="F712" s="7" t="s">
        <v>57</v>
      </c>
      <c r="G712" s="7">
        <v>1</v>
      </c>
      <c r="H712" s="11" t="s">
        <v>13</v>
      </c>
      <c r="I712" s="11" t="s">
        <v>1221</v>
      </c>
      <c r="J712" s="5" t="s">
        <v>1306</v>
      </c>
    </row>
    <row r="713" hidden="1" customHeight="1" spans="1:10">
      <c r="A713" s="2">
        <v>78</v>
      </c>
      <c r="B713" s="7" t="s">
        <v>1382</v>
      </c>
      <c r="C713" s="7" t="s">
        <v>1383</v>
      </c>
      <c r="D713" s="7" t="str">
        <f>_xlfn.DISPIMG("ID_5182F4C0989C4C13A79A8FDDEB1A0910",1)</f>
        <v>=DISPIMG("ID_5182F4C0989C4C13A79A8FDDEB1A0910",1)</v>
      </c>
      <c r="E713" s="23">
        <v>0.9613</v>
      </c>
      <c r="F713" s="7"/>
      <c r="G713" s="7">
        <v>1</v>
      </c>
      <c r="H713" s="11" t="s">
        <v>13</v>
      </c>
      <c r="I713" s="11" t="s">
        <v>1221</v>
      </c>
      <c r="J713" s="5" t="s">
        <v>1306</v>
      </c>
    </row>
    <row r="714" hidden="1" customHeight="1" spans="1:10">
      <c r="A714" s="2">
        <v>79</v>
      </c>
      <c r="B714" s="5" t="s">
        <v>1384</v>
      </c>
      <c r="C714" s="115" t="s">
        <v>1362</v>
      </c>
      <c r="D714" s="116"/>
      <c r="E714" s="116"/>
      <c r="F714" s="116"/>
      <c r="G714" s="128">
        <v>1</v>
      </c>
      <c r="H714" s="129" t="s">
        <v>13</v>
      </c>
      <c r="I714" s="129" t="s">
        <v>1221</v>
      </c>
      <c r="J714" s="115" t="s">
        <v>1306</v>
      </c>
    </row>
    <row r="715" hidden="1" customHeight="1" spans="1:10">
      <c r="A715" s="2">
        <v>80</v>
      </c>
      <c r="B715" s="89" t="s">
        <v>1385</v>
      </c>
      <c r="C715" s="117" t="s">
        <v>1270</v>
      </c>
      <c r="D715" s="118"/>
      <c r="E715" s="118"/>
      <c r="F715" s="118"/>
      <c r="G715" s="121">
        <v>1</v>
      </c>
      <c r="H715" s="127" t="s">
        <v>13</v>
      </c>
      <c r="I715" s="127" t="s">
        <v>1221</v>
      </c>
      <c r="J715" s="117" t="s">
        <v>1306</v>
      </c>
    </row>
    <row r="716" hidden="1" customHeight="1" spans="1:10">
      <c r="A716" s="2">
        <v>81</v>
      </c>
      <c r="B716" s="89" t="s">
        <v>1386</v>
      </c>
      <c r="C716" s="117" t="s">
        <v>1246</v>
      </c>
      <c r="D716" s="118"/>
      <c r="E716" s="118"/>
      <c r="F716" s="118"/>
      <c r="G716" s="121">
        <v>1</v>
      </c>
      <c r="H716" s="127" t="s">
        <v>13</v>
      </c>
      <c r="I716" s="127" t="s">
        <v>1221</v>
      </c>
      <c r="J716" s="117" t="s">
        <v>1306</v>
      </c>
    </row>
    <row r="717" hidden="1" customHeight="1" spans="1:10">
      <c r="A717" s="2">
        <v>82</v>
      </c>
      <c r="B717" s="89" t="s">
        <v>1387</v>
      </c>
      <c r="C717" s="117" t="s">
        <v>1388</v>
      </c>
      <c r="D717" s="119" t="s">
        <v>1389</v>
      </c>
      <c r="E717" s="130">
        <v>0.9999</v>
      </c>
      <c r="F717" s="117" t="s">
        <v>18</v>
      </c>
      <c r="G717" s="118">
        <v>1</v>
      </c>
      <c r="H717" s="118" t="s">
        <v>449</v>
      </c>
      <c r="I717" s="117" t="s">
        <v>1221</v>
      </c>
      <c r="J717" s="117" t="s">
        <v>1306</v>
      </c>
    </row>
    <row r="718" hidden="1" customHeight="1" spans="1:10">
      <c r="A718" s="2">
        <v>83</v>
      </c>
      <c r="B718" s="89" t="s">
        <v>1390</v>
      </c>
      <c r="C718" s="117" t="s">
        <v>1249</v>
      </c>
      <c r="D718" s="119" t="s">
        <v>1391</v>
      </c>
      <c r="E718" s="130">
        <v>0.999</v>
      </c>
      <c r="F718" s="117" t="s">
        <v>161</v>
      </c>
      <c r="G718" s="118">
        <v>1</v>
      </c>
      <c r="H718" s="118" t="s">
        <v>449</v>
      </c>
      <c r="I718" s="117" t="s">
        <v>1221</v>
      </c>
      <c r="J718" s="117" t="s">
        <v>1306</v>
      </c>
    </row>
    <row r="719" hidden="1" customHeight="1" spans="1:10">
      <c r="A719" s="2">
        <v>84</v>
      </c>
      <c r="B719" s="89" t="s">
        <v>1392</v>
      </c>
      <c r="C719" s="118"/>
      <c r="D719" s="117" t="s">
        <v>1358</v>
      </c>
      <c r="E719" s="118"/>
      <c r="F719" s="117" t="s">
        <v>57</v>
      </c>
      <c r="G719" s="118">
        <v>1</v>
      </c>
      <c r="H719" s="117" t="s">
        <v>13</v>
      </c>
      <c r="I719" s="117" t="s">
        <v>1221</v>
      </c>
      <c r="J719" s="117" t="s">
        <v>1306</v>
      </c>
    </row>
    <row r="720" hidden="1" customHeight="1" spans="1:10">
      <c r="A720" s="2">
        <v>85</v>
      </c>
      <c r="B720" s="89" t="s">
        <v>1393</v>
      </c>
      <c r="C720" s="118" t="s">
        <v>1314</v>
      </c>
      <c r="D720" s="117" t="s">
        <v>1315</v>
      </c>
      <c r="E720" s="118"/>
      <c r="F720" s="117" t="s">
        <v>57</v>
      </c>
      <c r="G720" s="118">
        <v>1</v>
      </c>
      <c r="H720" s="117" t="s">
        <v>13</v>
      </c>
      <c r="I720" s="117" t="s">
        <v>1221</v>
      </c>
      <c r="J720" s="117" t="s">
        <v>1306</v>
      </c>
    </row>
    <row r="721" hidden="1" customHeight="1" spans="1:10">
      <c r="A721" s="2">
        <v>86</v>
      </c>
      <c r="B721" s="86" t="s">
        <v>1394</v>
      </c>
      <c r="C721" s="120" t="s">
        <v>1395</v>
      </c>
      <c r="D721" s="120" t="s">
        <v>1396</v>
      </c>
      <c r="E721" s="121"/>
      <c r="F721" s="121" t="s">
        <v>12</v>
      </c>
      <c r="G721" s="121">
        <v>1</v>
      </c>
      <c r="H721" s="127" t="s">
        <v>13</v>
      </c>
      <c r="I721" s="127" t="s">
        <v>1221</v>
      </c>
      <c r="J721" s="117" t="s">
        <v>1397</v>
      </c>
    </row>
    <row r="722" hidden="1" customHeight="1" spans="1:10">
      <c r="A722" s="2">
        <v>87</v>
      </c>
      <c r="B722" s="86" t="s">
        <v>1398</v>
      </c>
      <c r="C722" s="120" t="s">
        <v>1399</v>
      </c>
      <c r="D722" s="121" t="str">
        <f>_xlfn.DISPIMG("ID_1C8F96F1DE814E548F768FDF535080DD",1)</f>
        <v>=DISPIMG("ID_1C8F96F1DE814E548F768FDF535080DD",1)</v>
      </c>
      <c r="E722" s="121"/>
      <c r="F722" s="121" t="s">
        <v>40</v>
      </c>
      <c r="G722" s="121">
        <v>1</v>
      </c>
      <c r="H722" s="127" t="s">
        <v>13</v>
      </c>
      <c r="I722" s="127" t="s">
        <v>1221</v>
      </c>
      <c r="J722" s="117" t="s">
        <v>1397</v>
      </c>
    </row>
    <row r="723" hidden="1" customHeight="1" spans="1:10">
      <c r="A723" s="2">
        <v>88</v>
      </c>
      <c r="B723" s="86" t="s">
        <v>1400</v>
      </c>
      <c r="C723" s="122" t="s">
        <v>1401</v>
      </c>
      <c r="D723" s="121" t="s">
        <v>1402</v>
      </c>
      <c r="E723" s="121" t="s">
        <v>443</v>
      </c>
      <c r="F723" s="121" t="s">
        <v>57</v>
      </c>
      <c r="G723" s="121">
        <v>1</v>
      </c>
      <c r="H723" s="127" t="s">
        <v>13</v>
      </c>
      <c r="I723" s="127" t="s">
        <v>1221</v>
      </c>
      <c r="J723" s="117" t="s">
        <v>1397</v>
      </c>
    </row>
    <row r="724" hidden="1" customHeight="1" spans="1:10">
      <c r="A724" s="2">
        <v>89</v>
      </c>
      <c r="B724" s="86" t="s">
        <v>1403</v>
      </c>
      <c r="C724" s="123" t="s">
        <v>1404</v>
      </c>
      <c r="D724" s="120" t="s">
        <v>1346</v>
      </c>
      <c r="E724" s="121" t="s">
        <v>443</v>
      </c>
      <c r="F724" s="121" t="s">
        <v>57</v>
      </c>
      <c r="G724" s="121">
        <v>1</v>
      </c>
      <c r="H724" s="127" t="s">
        <v>13</v>
      </c>
      <c r="I724" s="127" t="s">
        <v>1221</v>
      </c>
      <c r="J724" s="117" t="s">
        <v>1397</v>
      </c>
    </row>
    <row r="725" hidden="1" customHeight="1" spans="1:10">
      <c r="A725" s="2">
        <v>90</v>
      </c>
      <c r="B725" s="86" t="s">
        <v>1405</v>
      </c>
      <c r="C725" s="120" t="s">
        <v>1406</v>
      </c>
      <c r="D725" s="120" t="s">
        <v>1407</v>
      </c>
      <c r="E725" s="121" t="s">
        <v>443</v>
      </c>
      <c r="F725" s="121" t="s">
        <v>57</v>
      </c>
      <c r="G725" s="121">
        <v>1</v>
      </c>
      <c r="H725" s="127" t="s">
        <v>13</v>
      </c>
      <c r="I725" s="127" t="s">
        <v>1221</v>
      </c>
      <c r="J725" s="117" t="s">
        <v>1397</v>
      </c>
    </row>
    <row r="726" hidden="1" customHeight="1" spans="1:10">
      <c r="A726" s="2">
        <v>91</v>
      </c>
      <c r="B726" s="86" t="s">
        <v>1347</v>
      </c>
      <c r="C726" s="124" t="s">
        <v>1348</v>
      </c>
      <c r="D726" s="120" t="s">
        <v>1408</v>
      </c>
      <c r="E726" s="121" t="s">
        <v>443</v>
      </c>
      <c r="F726" s="121" t="s">
        <v>57</v>
      </c>
      <c r="G726" s="121">
        <v>2</v>
      </c>
      <c r="H726" s="127" t="s">
        <v>13</v>
      </c>
      <c r="I726" s="127" t="s">
        <v>1221</v>
      </c>
      <c r="J726" s="117" t="s">
        <v>1397</v>
      </c>
    </row>
    <row r="727" hidden="1" customHeight="1" spans="1:10">
      <c r="A727" s="2">
        <v>92</v>
      </c>
      <c r="B727" s="86" t="s">
        <v>1409</v>
      </c>
      <c r="C727" s="120" t="s">
        <v>1410</v>
      </c>
      <c r="D727" s="120" t="s">
        <v>1411</v>
      </c>
      <c r="E727" s="121" t="s">
        <v>443</v>
      </c>
      <c r="F727" s="121" t="s">
        <v>57</v>
      </c>
      <c r="G727" s="121">
        <v>1</v>
      </c>
      <c r="H727" s="127" t="s">
        <v>13</v>
      </c>
      <c r="I727" s="127" t="s">
        <v>1221</v>
      </c>
      <c r="J727" s="117" t="s">
        <v>1397</v>
      </c>
    </row>
    <row r="728" hidden="1" customHeight="1" spans="1:10">
      <c r="A728" s="2">
        <v>93</v>
      </c>
      <c r="B728" s="86" t="s">
        <v>1412</v>
      </c>
      <c r="C728" s="120" t="s">
        <v>1413</v>
      </c>
      <c r="D728" s="120" t="s">
        <v>1414</v>
      </c>
      <c r="E728" s="121" t="s">
        <v>443</v>
      </c>
      <c r="F728" s="121" t="s">
        <v>57</v>
      </c>
      <c r="G728" s="121">
        <v>1</v>
      </c>
      <c r="H728" s="127" t="s">
        <v>13</v>
      </c>
      <c r="I728" s="127" t="s">
        <v>1221</v>
      </c>
      <c r="J728" s="117" t="s">
        <v>1397</v>
      </c>
    </row>
    <row r="729" hidden="1" customHeight="1" spans="1:10">
      <c r="A729" s="2">
        <v>94</v>
      </c>
      <c r="B729" s="86" t="s">
        <v>1415</v>
      </c>
      <c r="C729" s="125" t="s">
        <v>1246</v>
      </c>
      <c r="D729" s="120" t="s">
        <v>1247</v>
      </c>
      <c r="E729" s="121" t="s">
        <v>443</v>
      </c>
      <c r="F729" s="121" t="s">
        <v>57</v>
      </c>
      <c r="G729" s="121">
        <v>1</v>
      </c>
      <c r="H729" s="127" t="s">
        <v>13</v>
      </c>
      <c r="I729" s="127" t="s">
        <v>1221</v>
      </c>
      <c r="J729" s="117" t="s">
        <v>1397</v>
      </c>
    </row>
    <row r="730" hidden="1" customHeight="1" spans="1:10">
      <c r="A730" s="2">
        <v>95</v>
      </c>
      <c r="B730" s="86" t="s">
        <v>1416</v>
      </c>
      <c r="C730" s="120" t="s">
        <v>1417</v>
      </c>
      <c r="D730" s="120" t="s">
        <v>1418</v>
      </c>
      <c r="E730" s="121" t="s">
        <v>443</v>
      </c>
      <c r="F730" s="121" t="s">
        <v>57</v>
      </c>
      <c r="G730" s="121">
        <v>1</v>
      </c>
      <c r="H730" s="127" t="s">
        <v>13</v>
      </c>
      <c r="I730" s="127" t="s">
        <v>1221</v>
      </c>
      <c r="J730" s="117" t="s">
        <v>1397</v>
      </c>
    </row>
    <row r="731" hidden="1" customHeight="1" spans="1:10">
      <c r="A731" s="2">
        <v>96</v>
      </c>
      <c r="B731" s="86" t="s">
        <v>1419</v>
      </c>
      <c r="C731" s="120" t="s">
        <v>1420</v>
      </c>
      <c r="D731" s="120" t="s">
        <v>1421</v>
      </c>
      <c r="E731" s="121" t="s">
        <v>443</v>
      </c>
      <c r="F731" s="121" t="s">
        <v>57</v>
      </c>
      <c r="G731" s="121">
        <v>1</v>
      </c>
      <c r="H731" s="127" t="s">
        <v>13</v>
      </c>
      <c r="I731" s="127" t="s">
        <v>1221</v>
      </c>
      <c r="J731" s="117" t="s">
        <v>1397</v>
      </c>
    </row>
    <row r="732" hidden="1" customHeight="1" spans="1:10">
      <c r="A732" s="2">
        <v>97</v>
      </c>
      <c r="B732" s="86" t="s">
        <v>1422</v>
      </c>
      <c r="C732" s="121" t="s">
        <v>1423</v>
      </c>
      <c r="D732" s="121" t="s">
        <v>1424</v>
      </c>
      <c r="E732" s="121" t="s">
        <v>1425</v>
      </c>
      <c r="F732" s="121" t="s">
        <v>57</v>
      </c>
      <c r="G732" s="121">
        <v>1</v>
      </c>
      <c r="H732" s="127" t="s">
        <v>117</v>
      </c>
      <c r="I732" s="127" t="s">
        <v>1221</v>
      </c>
      <c r="J732" s="117" t="s">
        <v>1397</v>
      </c>
    </row>
    <row r="733" hidden="1" customHeight="1" spans="1:10">
      <c r="A733" s="2">
        <v>98</v>
      </c>
      <c r="B733" s="86" t="s">
        <v>1426</v>
      </c>
      <c r="C733" s="126" t="s">
        <v>1427</v>
      </c>
      <c r="D733" s="121" t="s">
        <v>1428</v>
      </c>
      <c r="E733" s="131">
        <v>0.998</v>
      </c>
      <c r="F733" s="121" t="s">
        <v>57</v>
      </c>
      <c r="G733" s="121">
        <v>1</v>
      </c>
      <c r="H733" s="127" t="s">
        <v>13</v>
      </c>
      <c r="I733" s="127" t="s">
        <v>1221</v>
      </c>
      <c r="J733" s="117" t="s">
        <v>1397</v>
      </c>
    </row>
    <row r="734" hidden="1" customHeight="1" spans="1:10">
      <c r="A734" s="2">
        <v>99</v>
      </c>
      <c r="B734" s="86" t="s">
        <v>1426</v>
      </c>
      <c r="C734" s="121" t="s">
        <v>1427</v>
      </c>
      <c r="D734" s="121" t="s">
        <v>1428</v>
      </c>
      <c r="E734" s="121"/>
      <c r="F734" s="121" t="s">
        <v>110</v>
      </c>
      <c r="G734" s="121">
        <v>1</v>
      </c>
      <c r="H734" s="127" t="s">
        <v>13</v>
      </c>
      <c r="I734" s="127" t="s">
        <v>1221</v>
      </c>
      <c r="J734" s="117" t="s">
        <v>1397</v>
      </c>
    </row>
    <row r="735" hidden="1" customHeight="1" spans="1:10">
      <c r="A735" s="2">
        <v>100</v>
      </c>
      <c r="B735" s="86" t="s">
        <v>1429</v>
      </c>
      <c r="C735" s="126" t="s">
        <v>1430</v>
      </c>
      <c r="D735" s="121" t="str">
        <f>_xlfn.DISPIMG("ID_1676FAA30C754D5AA35C5921E491FF36",1)</f>
        <v>=DISPIMG("ID_1676FAA30C754D5AA35C5921E491FF36",1)</v>
      </c>
      <c r="E735" s="132">
        <v>0.99</v>
      </c>
      <c r="F735" s="121" t="s">
        <v>57</v>
      </c>
      <c r="G735" s="121">
        <v>1</v>
      </c>
      <c r="H735" s="127" t="s">
        <v>13</v>
      </c>
      <c r="I735" s="127" t="s">
        <v>1221</v>
      </c>
      <c r="J735" s="117" t="s">
        <v>1397</v>
      </c>
    </row>
    <row r="736" hidden="1" customHeight="1" spans="1:10">
      <c r="A736" s="2">
        <v>101</v>
      </c>
      <c r="B736" s="86" t="s">
        <v>1431</v>
      </c>
      <c r="C736" s="121" t="s">
        <v>1348</v>
      </c>
      <c r="D736" s="121" t="str">
        <f>_xlfn.DISPIMG("ID_C98D788499544154B2C1E56CEB634EC5",1)</f>
        <v>=DISPIMG("ID_C98D788499544154B2C1E56CEB634EC5",1)</v>
      </c>
      <c r="E736" s="132">
        <v>0.99</v>
      </c>
      <c r="F736" s="121" t="s">
        <v>57</v>
      </c>
      <c r="G736" s="121">
        <v>1</v>
      </c>
      <c r="H736" s="127" t="s">
        <v>13</v>
      </c>
      <c r="I736" s="127" t="s">
        <v>1221</v>
      </c>
      <c r="J736" s="117" t="s">
        <v>1397</v>
      </c>
    </row>
    <row r="737" hidden="1" customHeight="1" spans="1:10">
      <c r="A737" s="2">
        <v>102</v>
      </c>
      <c r="B737" s="86" t="s">
        <v>1353</v>
      </c>
      <c r="C737" s="127" t="s">
        <v>1432</v>
      </c>
      <c r="D737" s="121" t="s">
        <v>1355</v>
      </c>
      <c r="E737" s="132">
        <v>0.99</v>
      </c>
      <c r="F737" s="121" t="s">
        <v>57</v>
      </c>
      <c r="G737" s="121">
        <v>2</v>
      </c>
      <c r="H737" s="127" t="s">
        <v>13</v>
      </c>
      <c r="I737" s="127" t="s">
        <v>1221</v>
      </c>
      <c r="J737" s="117" t="s">
        <v>1397</v>
      </c>
    </row>
    <row r="738" hidden="1" customHeight="1" spans="1:10">
      <c r="A738" s="2">
        <v>103</v>
      </c>
      <c r="B738" s="86" t="s">
        <v>1341</v>
      </c>
      <c r="C738" s="121" t="s">
        <v>1379</v>
      </c>
      <c r="D738" s="121" t="s">
        <v>1343</v>
      </c>
      <c r="E738" s="131">
        <v>0.995</v>
      </c>
      <c r="F738" s="121" t="s">
        <v>57</v>
      </c>
      <c r="G738" s="121">
        <v>1</v>
      </c>
      <c r="H738" s="127" t="s">
        <v>13</v>
      </c>
      <c r="I738" s="127" t="s">
        <v>1221</v>
      </c>
      <c r="J738" s="117" t="s">
        <v>1397</v>
      </c>
    </row>
    <row r="739" hidden="1" customHeight="1" spans="1:10">
      <c r="A739" s="2">
        <v>104</v>
      </c>
      <c r="B739" s="86" t="s">
        <v>1433</v>
      </c>
      <c r="C739" s="127" t="s">
        <v>1434</v>
      </c>
      <c r="D739" s="121" t="s">
        <v>1435</v>
      </c>
      <c r="E739" s="132">
        <v>0.99</v>
      </c>
      <c r="F739" s="121" t="s">
        <v>57</v>
      </c>
      <c r="G739" s="121">
        <v>1</v>
      </c>
      <c r="H739" s="127" t="s">
        <v>13</v>
      </c>
      <c r="I739" s="127" t="s">
        <v>1221</v>
      </c>
      <c r="J739" s="117" t="s">
        <v>1397</v>
      </c>
    </row>
    <row r="740" hidden="1" customHeight="1" spans="1:10">
      <c r="A740" s="2">
        <v>105</v>
      </c>
      <c r="B740" s="86" t="s">
        <v>1436</v>
      </c>
      <c r="C740" s="121" t="s">
        <v>1437</v>
      </c>
      <c r="D740" s="121" t="s">
        <v>1438</v>
      </c>
      <c r="E740" s="132">
        <v>0.98</v>
      </c>
      <c r="F740" s="121" t="s">
        <v>57</v>
      </c>
      <c r="G740" s="121">
        <v>1</v>
      </c>
      <c r="H740" s="127" t="s">
        <v>13</v>
      </c>
      <c r="I740" s="127" t="s">
        <v>1221</v>
      </c>
      <c r="J740" s="117" t="s">
        <v>1397</v>
      </c>
    </row>
    <row r="741" hidden="1" customHeight="1" spans="1:10">
      <c r="A741" s="2">
        <v>106</v>
      </c>
      <c r="B741" s="89" t="s">
        <v>1439</v>
      </c>
      <c r="C741" s="117" t="s">
        <v>1440</v>
      </c>
      <c r="D741" s="118" t="str">
        <f>_xlfn.DISPIMG("ID_082B8B37813046369222B0C571713EEE",1)</f>
        <v>=DISPIMG("ID_082B8B37813046369222B0C571713EEE",1)</v>
      </c>
      <c r="E741" s="133">
        <v>0.995</v>
      </c>
      <c r="F741" s="117" t="s">
        <v>57</v>
      </c>
      <c r="G741" s="118">
        <v>4</v>
      </c>
      <c r="H741" s="117" t="s">
        <v>13</v>
      </c>
      <c r="I741" s="117" t="s">
        <v>1221</v>
      </c>
      <c r="J741" s="117" t="s">
        <v>1397</v>
      </c>
    </row>
    <row r="742" hidden="1" customHeight="1" spans="1:10">
      <c r="A742" s="2">
        <v>107</v>
      </c>
      <c r="B742" s="89" t="s">
        <v>1441</v>
      </c>
      <c r="C742" s="117" t="s">
        <v>1348</v>
      </c>
      <c r="D742" s="118" t="str">
        <f>_xlfn.DISPIMG("ID_539F5E5DEA0C48B7A2B6D490C86C1606",1)</f>
        <v>=DISPIMG("ID_539F5E5DEA0C48B7A2B6D490C86C1606",1)</v>
      </c>
      <c r="E742" s="130">
        <v>0.995</v>
      </c>
      <c r="F742" s="117" t="s">
        <v>57</v>
      </c>
      <c r="G742" s="118">
        <v>6</v>
      </c>
      <c r="H742" s="117" t="s">
        <v>13</v>
      </c>
      <c r="I742" s="117" t="s">
        <v>1221</v>
      </c>
      <c r="J742" s="117" t="s">
        <v>1397</v>
      </c>
    </row>
    <row r="743" hidden="1" customHeight="1" spans="1:10">
      <c r="A743" s="2">
        <v>108</v>
      </c>
      <c r="B743" s="89" t="s">
        <v>1442</v>
      </c>
      <c r="C743" s="118"/>
      <c r="D743" s="117" t="s">
        <v>1443</v>
      </c>
      <c r="E743" s="134">
        <v>0.98</v>
      </c>
      <c r="F743" s="118"/>
      <c r="G743" s="118">
        <v>1</v>
      </c>
      <c r="H743" s="117" t="s">
        <v>13</v>
      </c>
      <c r="I743" s="117" t="s">
        <v>1221</v>
      </c>
      <c r="J743" s="117" t="s">
        <v>1397</v>
      </c>
    </row>
    <row r="744" hidden="1" customHeight="1" spans="1:10">
      <c r="A744" s="2">
        <v>109</v>
      </c>
      <c r="B744" s="89" t="s">
        <v>1444</v>
      </c>
      <c r="C744" s="118" t="s">
        <v>1445</v>
      </c>
      <c r="D744" s="118" t="str">
        <f>_xlfn.DISPIMG("ID_2F64F7943D6B4A65A225530714A5E275",1)</f>
        <v>=DISPIMG("ID_2F64F7943D6B4A65A225530714A5E275",1)</v>
      </c>
      <c r="E744" s="117" t="s">
        <v>636</v>
      </c>
      <c r="F744" s="118"/>
      <c r="G744" s="118">
        <v>1</v>
      </c>
      <c r="H744" s="117" t="s">
        <v>13</v>
      </c>
      <c r="I744" s="117" t="s">
        <v>1221</v>
      </c>
      <c r="J744" s="117" t="s">
        <v>1397</v>
      </c>
    </row>
    <row r="745" hidden="1" customHeight="1" spans="1:10">
      <c r="A745" s="2">
        <v>110</v>
      </c>
      <c r="B745" s="89" t="s">
        <v>1446</v>
      </c>
      <c r="C745" s="117" t="s">
        <v>1447</v>
      </c>
      <c r="D745" s="118" t="s">
        <v>1448</v>
      </c>
      <c r="E745" s="118"/>
      <c r="F745" s="118"/>
      <c r="G745" s="118">
        <v>1</v>
      </c>
      <c r="H745" s="117" t="s">
        <v>13</v>
      </c>
      <c r="I745" s="117" t="s">
        <v>1221</v>
      </c>
      <c r="J745" s="117" t="s">
        <v>1397</v>
      </c>
    </row>
    <row r="746" hidden="1" customHeight="1" spans="1:10">
      <c r="A746" s="2">
        <v>111</v>
      </c>
      <c r="B746" s="89" t="s">
        <v>1449</v>
      </c>
      <c r="C746" s="117" t="s">
        <v>1437</v>
      </c>
      <c r="D746" s="118" t="str">
        <f>_xlfn.DISPIMG("ID_2DAEB8C13B7A43ED99ADA44B68357038",1)</f>
        <v>=DISPIMG("ID_2DAEB8C13B7A43ED99ADA44B68357038",1)</v>
      </c>
      <c r="E746" s="118"/>
      <c r="F746" s="118"/>
      <c r="G746" s="118">
        <v>1</v>
      </c>
      <c r="H746" s="117" t="s">
        <v>13</v>
      </c>
      <c r="I746" s="117" t="s">
        <v>1221</v>
      </c>
      <c r="J746" s="117" t="s">
        <v>1397</v>
      </c>
    </row>
    <row r="747" hidden="1" customHeight="1" spans="1:10">
      <c r="A747" s="2">
        <v>112</v>
      </c>
      <c r="B747" s="89" t="s">
        <v>1450</v>
      </c>
      <c r="C747" s="117" t="s">
        <v>1451</v>
      </c>
      <c r="D747" s="118" t="str">
        <f>_xlfn.DISPIMG("ID_37AA8C174DFE4D1EA7DF8B0EA26B84DF",1)</f>
        <v>=DISPIMG("ID_37AA8C174DFE4D1EA7DF8B0EA26B84DF",1)</v>
      </c>
      <c r="E747" s="134">
        <v>0.97</v>
      </c>
      <c r="F747" s="117" t="s">
        <v>50</v>
      </c>
      <c r="G747" s="118">
        <v>1</v>
      </c>
      <c r="H747" s="118" t="s">
        <v>449</v>
      </c>
      <c r="I747" s="117" t="s">
        <v>1221</v>
      </c>
      <c r="J747" s="117" t="s">
        <v>1397</v>
      </c>
    </row>
    <row r="748" hidden="1" customHeight="1" spans="1:10">
      <c r="A748" s="2">
        <v>113</v>
      </c>
      <c r="B748" s="86" t="s">
        <v>1364</v>
      </c>
      <c r="C748" s="126" t="s">
        <v>1365</v>
      </c>
      <c r="D748" s="121" t="s">
        <v>1366</v>
      </c>
      <c r="E748" s="121"/>
      <c r="F748" s="121"/>
      <c r="G748" s="121">
        <v>1</v>
      </c>
      <c r="H748" s="127" t="s">
        <v>117</v>
      </c>
      <c r="I748" s="127" t="s">
        <v>1221</v>
      </c>
      <c r="J748" s="117" t="s">
        <v>1452</v>
      </c>
    </row>
    <row r="749" hidden="1" customHeight="1" spans="1:10">
      <c r="A749" s="2">
        <v>114</v>
      </c>
      <c r="B749" s="86" t="s">
        <v>1453</v>
      </c>
      <c r="C749" s="119" t="s">
        <v>1454</v>
      </c>
      <c r="D749" s="121" t="s">
        <v>1455</v>
      </c>
      <c r="E749" s="121" t="s">
        <v>56</v>
      </c>
      <c r="F749" s="121" t="s">
        <v>57</v>
      </c>
      <c r="G749" s="121">
        <v>2</v>
      </c>
      <c r="H749" s="127" t="s">
        <v>13</v>
      </c>
      <c r="I749" s="127" t="s">
        <v>1221</v>
      </c>
      <c r="J749" s="117" t="s">
        <v>1456</v>
      </c>
    </row>
    <row r="750" hidden="1" customHeight="1" spans="1:10">
      <c r="A750" s="2">
        <v>115</v>
      </c>
      <c r="B750" s="86" t="s">
        <v>1457</v>
      </c>
      <c r="C750" s="120" t="s">
        <v>1458</v>
      </c>
      <c r="D750" s="120" t="s">
        <v>1459</v>
      </c>
      <c r="E750" s="121" t="s">
        <v>443</v>
      </c>
      <c r="F750" s="121" t="s">
        <v>57</v>
      </c>
      <c r="G750" s="121">
        <v>1</v>
      </c>
      <c r="H750" s="127" t="s">
        <v>13</v>
      </c>
      <c r="I750" s="127" t="s">
        <v>1221</v>
      </c>
      <c r="J750" s="117" t="s">
        <v>1456</v>
      </c>
    </row>
    <row r="751" hidden="1" customHeight="1" spans="1:10">
      <c r="A751" s="2">
        <v>116</v>
      </c>
      <c r="B751" s="86" t="s">
        <v>1460</v>
      </c>
      <c r="C751" s="125" t="s">
        <v>1461</v>
      </c>
      <c r="D751" s="120" t="s">
        <v>1462</v>
      </c>
      <c r="E751" s="121" t="s">
        <v>443</v>
      </c>
      <c r="F751" s="121" t="s">
        <v>57</v>
      </c>
      <c r="G751" s="121">
        <v>1</v>
      </c>
      <c r="H751" s="127" t="s">
        <v>13</v>
      </c>
      <c r="I751" s="127" t="s">
        <v>1221</v>
      </c>
      <c r="J751" s="117" t="s">
        <v>1456</v>
      </c>
    </row>
    <row r="752" hidden="1" customHeight="1" spans="1:10">
      <c r="A752" s="2">
        <v>117</v>
      </c>
      <c r="B752" s="86" t="s">
        <v>1463</v>
      </c>
      <c r="C752" s="125" t="s">
        <v>1464</v>
      </c>
      <c r="D752" s="120" t="s">
        <v>1465</v>
      </c>
      <c r="E752" s="121">
        <v>90</v>
      </c>
      <c r="F752" s="121" t="s">
        <v>57</v>
      </c>
      <c r="G752" s="121">
        <v>1</v>
      </c>
      <c r="H752" s="127" t="s">
        <v>13</v>
      </c>
      <c r="I752" s="127" t="s">
        <v>1221</v>
      </c>
      <c r="J752" s="117" t="s">
        <v>1456</v>
      </c>
    </row>
    <row r="753" hidden="1" customHeight="1" spans="1:10">
      <c r="A753" s="2">
        <v>118</v>
      </c>
      <c r="B753" s="92" t="s">
        <v>1466</v>
      </c>
      <c r="C753" s="125" t="s">
        <v>1467</v>
      </c>
      <c r="D753" s="120" t="s">
        <v>1468</v>
      </c>
      <c r="E753" s="121" t="s">
        <v>443</v>
      </c>
      <c r="F753" s="121" t="s">
        <v>110</v>
      </c>
      <c r="G753" s="121">
        <v>1</v>
      </c>
      <c r="H753" s="127" t="s">
        <v>13</v>
      </c>
      <c r="I753" s="127" t="s">
        <v>1221</v>
      </c>
      <c r="J753" s="117" t="s">
        <v>1456</v>
      </c>
    </row>
    <row r="754" hidden="1" customHeight="1" spans="1:10">
      <c r="A754" s="2">
        <v>119</v>
      </c>
      <c r="B754" s="86" t="s">
        <v>1469</v>
      </c>
      <c r="C754" s="120" t="s">
        <v>1467</v>
      </c>
      <c r="D754" s="120" t="s">
        <v>1468</v>
      </c>
      <c r="E754" s="121"/>
      <c r="F754" s="121"/>
      <c r="G754" s="121">
        <v>1</v>
      </c>
      <c r="H754" s="127" t="s">
        <v>13</v>
      </c>
      <c r="I754" s="127" t="s">
        <v>1221</v>
      </c>
      <c r="J754" s="117" t="s">
        <v>1456</v>
      </c>
    </row>
    <row r="755" hidden="1" customHeight="1" spans="1:10">
      <c r="A755" s="2">
        <v>120</v>
      </c>
      <c r="B755" s="86" t="s">
        <v>1470</v>
      </c>
      <c r="C755" s="120"/>
      <c r="D755" s="120" t="s">
        <v>1471</v>
      </c>
      <c r="E755" s="121"/>
      <c r="F755" s="121"/>
      <c r="G755" s="121">
        <v>1</v>
      </c>
      <c r="H755" s="127" t="s">
        <v>13</v>
      </c>
      <c r="I755" s="127" t="s">
        <v>1221</v>
      </c>
      <c r="J755" s="117" t="s">
        <v>1456</v>
      </c>
    </row>
    <row r="756" hidden="1" customHeight="1" spans="1:10">
      <c r="A756" s="2">
        <v>121</v>
      </c>
      <c r="B756" s="86" t="s">
        <v>1472</v>
      </c>
      <c r="C756" s="120" t="s">
        <v>1473</v>
      </c>
      <c r="D756" s="120" t="s">
        <v>1402</v>
      </c>
      <c r="E756" s="121"/>
      <c r="F756" s="121" t="s">
        <v>57</v>
      </c>
      <c r="G756" s="121">
        <v>1</v>
      </c>
      <c r="H756" s="127" t="s">
        <v>13</v>
      </c>
      <c r="I756" s="127" t="s">
        <v>1221</v>
      </c>
      <c r="J756" s="117" t="s">
        <v>1456</v>
      </c>
    </row>
    <row r="757" hidden="1" customHeight="1" spans="1:10">
      <c r="A757" s="2">
        <v>122</v>
      </c>
      <c r="B757" s="86" t="s">
        <v>1416</v>
      </c>
      <c r="C757" s="121" t="s">
        <v>1270</v>
      </c>
      <c r="D757" s="121" t="s">
        <v>1474</v>
      </c>
      <c r="E757" s="131">
        <v>0.9991</v>
      </c>
      <c r="F757" s="121" t="s">
        <v>57</v>
      </c>
      <c r="G757" s="121">
        <v>2</v>
      </c>
      <c r="H757" s="127" t="s">
        <v>13</v>
      </c>
      <c r="I757" s="127" t="s">
        <v>1221</v>
      </c>
      <c r="J757" s="117" t="s">
        <v>1456</v>
      </c>
    </row>
    <row r="758" hidden="1" customHeight="1" spans="1:10">
      <c r="A758" s="2">
        <v>123</v>
      </c>
      <c r="B758" s="86" t="s">
        <v>1475</v>
      </c>
      <c r="C758" s="126" t="s">
        <v>1476</v>
      </c>
      <c r="D758" s="121" t="s">
        <v>1477</v>
      </c>
      <c r="E758" s="121"/>
      <c r="F758" s="121" t="s">
        <v>45</v>
      </c>
      <c r="G758" s="121">
        <v>1</v>
      </c>
      <c r="H758" s="127" t="s">
        <v>13</v>
      </c>
      <c r="I758" s="127" t="s">
        <v>1221</v>
      </c>
      <c r="J758" s="117" t="s">
        <v>1456</v>
      </c>
    </row>
    <row r="759" hidden="1" customHeight="1" spans="1:10">
      <c r="A759" s="2">
        <v>124</v>
      </c>
      <c r="B759" s="86" t="s">
        <v>1478</v>
      </c>
      <c r="C759" s="121"/>
      <c r="D759" s="121" t="s">
        <v>1479</v>
      </c>
      <c r="E759" s="121" t="s">
        <v>443</v>
      </c>
      <c r="F759" s="121" t="s">
        <v>57</v>
      </c>
      <c r="G759" s="121">
        <v>1</v>
      </c>
      <c r="H759" s="127" t="s">
        <v>13</v>
      </c>
      <c r="I759" s="127" t="s">
        <v>1221</v>
      </c>
      <c r="J759" s="117" t="s">
        <v>1456</v>
      </c>
    </row>
    <row r="760" hidden="1" customHeight="1" spans="1:10">
      <c r="A760" s="2">
        <v>125</v>
      </c>
      <c r="B760" s="86" t="s">
        <v>1478</v>
      </c>
      <c r="C760" s="121"/>
      <c r="D760" s="121" t="s">
        <v>1479</v>
      </c>
      <c r="E760" s="121"/>
      <c r="F760" s="121"/>
      <c r="G760" s="121">
        <v>1</v>
      </c>
      <c r="H760" s="127" t="s">
        <v>13</v>
      </c>
      <c r="I760" s="127" t="s">
        <v>1221</v>
      </c>
      <c r="J760" s="117" t="s">
        <v>1456</v>
      </c>
    </row>
    <row r="761" hidden="1" customHeight="1" spans="1:10">
      <c r="A761" s="2">
        <v>126</v>
      </c>
      <c r="B761" s="86" t="s">
        <v>1480</v>
      </c>
      <c r="C761" s="126" t="s">
        <v>1481</v>
      </c>
      <c r="D761" s="121" t="s">
        <v>1217</v>
      </c>
      <c r="E761" s="121"/>
      <c r="F761" s="121"/>
      <c r="G761" s="121">
        <v>1</v>
      </c>
      <c r="H761" s="127" t="s">
        <v>13</v>
      </c>
      <c r="I761" s="127" t="s">
        <v>1221</v>
      </c>
      <c r="J761" s="117" t="s">
        <v>1456</v>
      </c>
    </row>
    <row r="762" hidden="1" customHeight="1" spans="1:10">
      <c r="A762" s="2">
        <v>127</v>
      </c>
      <c r="B762" s="86" t="s">
        <v>1482</v>
      </c>
      <c r="C762" s="121" t="s">
        <v>1483</v>
      </c>
      <c r="D762" s="121" t="s">
        <v>1484</v>
      </c>
      <c r="E762" s="121" t="s">
        <v>443</v>
      </c>
      <c r="F762" s="121" t="s">
        <v>57</v>
      </c>
      <c r="G762" s="121">
        <v>1</v>
      </c>
      <c r="H762" s="127" t="s">
        <v>13</v>
      </c>
      <c r="I762" s="127" t="s">
        <v>1221</v>
      </c>
      <c r="J762" s="117" t="s">
        <v>1456</v>
      </c>
    </row>
    <row r="763" hidden="1" customHeight="1" spans="1:10">
      <c r="A763" s="2">
        <v>128</v>
      </c>
      <c r="B763" s="86" t="s">
        <v>1485</v>
      </c>
      <c r="C763" s="126" t="s">
        <v>1272</v>
      </c>
      <c r="D763" s="127" t="s">
        <v>1273</v>
      </c>
      <c r="E763" s="132">
        <v>0.96</v>
      </c>
      <c r="F763" s="121" t="s">
        <v>57</v>
      </c>
      <c r="G763" s="121">
        <v>2</v>
      </c>
      <c r="H763" s="127" t="s">
        <v>13</v>
      </c>
      <c r="I763" s="127" t="s">
        <v>1221</v>
      </c>
      <c r="J763" s="117" t="s">
        <v>1456</v>
      </c>
    </row>
    <row r="764" hidden="1" customHeight="1" spans="1:10">
      <c r="A764" s="2">
        <v>129</v>
      </c>
      <c r="B764" s="89" t="s">
        <v>1386</v>
      </c>
      <c r="C764" s="117" t="s">
        <v>1246</v>
      </c>
      <c r="D764" s="117" t="s">
        <v>1247</v>
      </c>
      <c r="E764" s="118"/>
      <c r="F764" s="118"/>
      <c r="G764" s="118"/>
      <c r="H764" s="127" t="s">
        <v>13</v>
      </c>
      <c r="I764" s="127" t="s">
        <v>1221</v>
      </c>
      <c r="J764" s="117" t="s">
        <v>1456</v>
      </c>
    </row>
    <row r="765" hidden="1" customHeight="1" spans="1:10">
      <c r="A765" s="2">
        <v>130</v>
      </c>
      <c r="B765" s="89" t="s">
        <v>1486</v>
      </c>
      <c r="C765" s="117" t="s">
        <v>1487</v>
      </c>
      <c r="D765" s="118"/>
      <c r="E765" s="118"/>
      <c r="F765" s="118"/>
      <c r="G765" s="118"/>
      <c r="H765" s="127" t="s">
        <v>13</v>
      </c>
      <c r="I765" s="127" t="s">
        <v>1221</v>
      </c>
      <c r="J765" s="117" t="s">
        <v>1456</v>
      </c>
    </row>
    <row r="766" hidden="1" customHeight="1" spans="1:10">
      <c r="A766" s="2">
        <v>131</v>
      </c>
      <c r="B766" s="89" t="s">
        <v>1488</v>
      </c>
      <c r="C766" s="117" t="s">
        <v>1489</v>
      </c>
      <c r="D766" s="117" t="s">
        <v>1224</v>
      </c>
      <c r="E766" s="118"/>
      <c r="F766" s="118"/>
      <c r="G766" s="118"/>
      <c r="H766" s="127" t="s">
        <v>13</v>
      </c>
      <c r="I766" s="127" t="s">
        <v>1221</v>
      </c>
      <c r="J766" s="117" t="s">
        <v>1456</v>
      </c>
    </row>
    <row r="767" hidden="1" customHeight="1" spans="1:10">
      <c r="A767" s="2">
        <v>132</v>
      </c>
      <c r="B767" s="89" t="s">
        <v>1490</v>
      </c>
      <c r="C767" s="117" t="s">
        <v>1272</v>
      </c>
      <c r="D767" s="117" t="s">
        <v>1273</v>
      </c>
      <c r="E767" s="117" t="s">
        <v>388</v>
      </c>
      <c r="F767" s="117" t="s">
        <v>57</v>
      </c>
      <c r="G767" s="118">
        <v>3</v>
      </c>
      <c r="H767" s="118" t="s">
        <v>449</v>
      </c>
      <c r="I767" s="117" t="s">
        <v>1221</v>
      </c>
      <c r="J767" s="117" t="s">
        <v>1456</v>
      </c>
    </row>
    <row r="768" hidden="1" customHeight="1" spans="1:10">
      <c r="A768" s="2">
        <v>133</v>
      </c>
      <c r="B768" s="89" t="s">
        <v>1491</v>
      </c>
      <c r="C768" s="117" t="s">
        <v>1458</v>
      </c>
      <c r="D768" s="117" t="s">
        <v>1459</v>
      </c>
      <c r="E768" s="134">
        <v>0.99</v>
      </c>
      <c r="F768" s="117" t="s">
        <v>57</v>
      </c>
      <c r="G768" s="118">
        <v>1</v>
      </c>
      <c r="H768" s="118" t="s">
        <v>449</v>
      </c>
      <c r="I768" s="117" t="s">
        <v>1221</v>
      </c>
      <c r="J768" s="117" t="s">
        <v>1456</v>
      </c>
    </row>
    <row r="769" hidden="1" customHeight="1" spans="1:10">
      <c r="A769" s="2">
        <v>134</v>
      </c>
      <c r="B769" s="89" t="s">
        <v>1492</v>
      </c>
      <c r="C769" s="117" t="s">
        <v>1476</v>
      </c>
      <c r="D769" s="117" t="s">
        <v>1493</v>
      </c>
      <c r="E769" s="134">
        <v>0.99</v>
      </c>
      <c r="F769" s="117" t="s">
        <v>57</v>
      </c>
      <c r="G769" s="118">
        <v>1</v>
      </c>
      <c r="H769" s="118" t="s">
        <v>449</v>
      </c>
      <c r="I769" s="117" t="s">
        <v>1221</v>
      </c>
      <c r="J769" s="117" t="s">
        <v>1456</v>
      </c>
    </row>
    <row r="770" hidden="1" customHeight="1" spans="1:10">
      <c r="A770" s="2">
        <v>135</v>
      </c>
      <c r="B770" s="89" t="s">
        <v>1494</v>
      </c>
      <c r="C770" s="118"/>
      <c r="D770" s="117" t="s">
        <v>1465</v>
      </c>
      <c r="E770" s="117" t="s">
        <v>636</v>
      </c>
      <c r="F770" s="117" t="s">
        <v>57</v>
      </c>
      <c r="G770" s="118">
        <v>1</v>
      </c>
      <c r="H770" s="117" t="s">
        <v>13</v>
      </c>
      <c r="I770" s="117" t="s">
        <v>1221</v>
      </c>
      <c r="J770" s="117" t="s">
        <v>1456</v>
      </c>
    </row>
    <row r="771" hidden="1" customHeight="1" spans="1:10">
      <c r="A771" s="2">
        <v>136</v>
      </c>
      <c r="B771" s="86" t="s">
        <v>1495</v>
      </c>
      <c r="C771" s="135" t="s">
        <v>1496</v>
      </c>
      <c r="D771" s="121" t="s">
        <v>1497</v>
      </c>
      <c r="E771" s="132">
        <v>0.25</v>
      </c>
      <c r="F771" s="121" t="s">
        <v>12</v>
      </c>
      <c r="G771" s="121">
        <v>2</v>
      </c>
      <c r="H771" s="127" t="s">
        <v>135</v>
      </c>
      <c r="I771" s="127" t="s">
        <v>1221</v>
      </c>
      <c r="J771" s="117" t="s">
        <v>1498</v>
      </c>
    </row>
    <row r="772" hidden="1" customHeight="1" spans="1:10">
      <c r="A772" s="2">
        <v>137</v>
      </c>
      <c r="B772" s="86" t="s">
        <v>1469</v>
      </c>
      <c r="C772" s="126" t="s">
        <v>1499</v>
      </c>
      <c r="D772" s="121" t="s">
        <v>1500</v>
      </c>
      <c r="E772" s="121"/>
      <c r="F772" s="121"/>
      <c r="G772" s="121">
        <v>1</v>
      </c>
      <c r="H772" s="127" t="s">
        <v>13</v>
      </c>
      <c r="I772" s="127" t="s">
        <v>1221</v>
      </c>
      <c r="J772" s="117" t="s">
        <v>1498</v>
      </c>
    </row>
    <row r="773" hidden="1" customHeight="1" spans="1:10">
      <c r="A773" s="2">
        <v>138</v>
      </c>
      <c r="B773" s="86" t="s">
        <v>1501</v>
      </c>
      <c r="C773" s="126" t="s">
        <v>1481</v>
      </c>
      <c r="D773" s="121" t="s">
        <v>1217</v>
      </c>
      <c r="E773" s="121" t="s">
        <v>443</v>
      </c>
      <c r="F773" s="121" t="s">
        <v>57</v>
      </c>
      <c r="G773" s="121">
        <v>1</v>
      </c>
      <c r="H773" s="127" t="s">
        <v>13</v>
      </c>
      <c r="I773" s="127" t="s">
        <v>1221</v>
      </c>
      <c r="J773" s="117" t="s">
        <v>1498</v>
      </c>
    </row>
    <row r="774" hidden="1" customHeight="1" spans="1:10">
      <c r="A774" s="2">
        <v>139</v>
      </c>
      <c r="B774" s="86" t="s">
        <v>1502</v>
      </c>
      <c r="C774" s="127" t="s">
        <v>1272</v>
      </c>
      <c r="D774" s="121" t="s">
        <v>1273</v>
      </c>
      <c r="E774" s="132">
        <v>0.96</v>
      </c>
      <c r="F774" s="121" t="s">
        <v>57</v>
      </c>
      <c r="G774" s="121">
        <v>1</v>
      </c>
      <c r="H774" s="127" t="s">
        <v>13</v>
      </c>
      <c r="I774" s="127" t="s">
        <v>1221</v>
      </c>
      <c r="J774" s="117" t="s">
        <v>1498</v>
      </c>
    </row>
    <row r="775" hidden="1" customHeight="1" spans="1:10">
      <c r="A775" s="2">
        <v>140</v>
      </c>
      <c r="B775" s="86" t="s">
        <v>1495</v>
      </c>
      <c r="C775" s="127" t="s">
        <v>1496</v>
      </c>
      <c r="D775" s="121" t="s">
        <v>1503</v>
      </c>
      <c r="E775" s="132">
        <v>0.25</v>
      </c>
      <c r="F775" s="121" t="s">
        <v>12</v>
      </c>
      <c r="G775" s="121">
        <v>2</v>
      </c>
      <c r="H775" s="127" t="s">
        <v>13</v>
      </c>
      <c r="I775" s="127" t="s">
        <v>1221</v>
      </c>
      <c r="J775" s="118" t="s">
        <v>1504</v>
      </c>
    </row>
    <row r="776" hidden="1" customHeight="1" spans="1:10">
      <c r="A776" s="2">
        <v>141</v>
      </c>
      <c r="B776" s="89" t="s">
        <v>1505</v>
      </c>
      <c r="C776" s="118"/>
      <c r="D776" s="118"/>
      <c r="E776" s="118"/>
      <c r="F776" s="118"/>
      <c r="G776" s="118"/>
      <c r="H776" s="127" t="s">
        <v>13</v>
      </c>
      <c r="I776" s="127" t="s">
        <v>1221</v>
      </c>
      <c r="J776" s="118" t="s">
        <v>1504</v>
      </c>
    </row>
    <row r="777" hidden="1" customHeight="1" spans="1:10">
      <c r="A777" s="2">
        <v>142</v>
      </c>
      <c r="B777" s="136" t="s">
        <v>1506</v>
      </c>
      <c r="C777" s="117" t="s">
        <v>1496</v>
      </c>
      <c r="D777" s="118" t="str">
        <f>_xlfn.DISPIMG("ID_6048FF615F58488E8FA3AD46D78446F1",1)</f>
        <v>=DISPIMG("ID_6048FF615F58488E8FA3AD46D78446F1",1)</v>
      </c>
      <c r="E777" s="134">
        <v>0.25</v>
      </c>
      <c r="F777" s="117" t="s">
        <v>12</v>
      </c>
      <c r="G777" s="118">
        <v>1</v>
      </c>
      <c r="H777" s="117" t="s">
        <v>13</v>
      </c>
      <c r="I777" s="117" t="s">
        <v>1221</v>
      </c>
      <c r="J777" s="118" t="s">
        <v>1504</v>
      </c>
    </row>
    <row r="778" hidden="1" customHeight="1" spans="1:10">
      <c r="A778" s="2">
        <v>143</v>
      </c>
      <c r="B778" s="89" t="s">
        <v>1297</v>
      </c>
      <c r="C778" s="117" t="s">
        <v>1291</v>
      </c>
      <c r="D778" s="117" t="s">
        <v>1292</v>
      </c>
      <c r="E778" s="118"/>
      <c r="F778" s="118"/>
      <c r="G778" s="118"/>
      <c r="H778" s="127" t="s">
        <v>13</v>
      </c>
      <c r="I778" s="127" t="s">
        <v>1221</v>
      </c>
      <c r="J778" s="118" t="s">
        <v>1504</v>
      </c>
    </row>
    <row r="779" hidden="1" customHeight="1" spans="1:10">
      <c r="A779" s="2">
        <v>144</v>
      </c>
      <c r="B779" s="89" t="s">
        <v>1490</v>
      </c>
      <c r="C779" s="117" t="s">
        <v>1272</v>
      </c>
      <c r="D779" s="119" t="s">
        <v>1507</v>
      </c>
      <c r="E779" s="118"/>
      <c r="F779" s="118"/>
      <c r="G779" s="118"/>
      <c r="H779" s="117" t="s">
        <v>13</v>
      </c>
      <c r="I779" s="117" t="s">
        <v>1221</v>
      </c>
      <c r="J779" s="117" t="s">
        <v>1498</v>
      </c>
    </row>
    <row r="780" hidden="1" customHeight="1" spans="1:10">
      <c r="A780" s="2">
        <v>250</v>
      </c>
      <c r="B780" s="86" t="s">
        <v>1508</v>
      </c>
      <c r="C780" s="135" t="s">
        <v>1509</v>
      </c>
      <c r="D780" s="121" t="str">
        <f>_xlfn.DISPIMG("ID_21C2205A8B174E908EDBDF53D429BCB8",1)</f>
        <v>=DISPIMG("ID_21C2205A8B174E908EDBDF53D429BCB8",1)</v>
      </c>
      <c r="E780" s="132">
        <v>0.99</v>
      </c>
      <c r="F780" s="121" t="s">
        <v>110</v>
      </c>
      <c r="G780" s="121">
        <v>1</v>
      </c>
      <c r="H780" s="127" t="s">
        <v>13</v>
      </c>
      <c r="I780" s="127" t="s">
        <v>1221</v>
      </c>
      <c r="J780" s="117" t="s">
        <v>1148</v>
      </c>
    </row>
    <row r="781" hidden="1" customHeight="1" spans="1:10">
      <c r="A781" s="2">
        <v>307</v>
      </c>
      <c r="B781" s="89" t="s">
        <v>1510</v>
      </c>
      <c r="C781" s="117" t="s">
        <v>589</v>
      </c>
      <c r="D781" s="118" t="str">
        <f>_xlfn.DISPIMG("ID_1344B954D36844F1A459372D7F1C8064",1)</f>
        <v>=DISPIMG("ID_1344B954D36844F1A459372D7F1C8064",1)</v>
      </c>
      <c r="E781" s="134">
        <v>0.98</v>
      </c>
      <c r="F781" s="117" t="s">
        <v>57</v>
      </c>
      <c r="G781" s="118">
        <v>1</v>
      </c>
      <c r="H781" s="118" t="s">
        <v>449</v>
      </c>
      <c r="I781" s="117" t="s">
        <v>1221</v>
      </c>
      <c r="J781" s="117" t="s">
        <v>408</v>
      </c>
    </row>
    <row r="782" hidden="1" customHeight="1" spans="1:10">
      <c r="A782" s="2">
        <v>316</v>
      </c>
      <c r="B782" s="89" t="s">
        <v>1511</v>
      </c>
      <c r="C782" s="117" t="s">
        <v>1512</v>
      </c>
      <c r="D782" s="118"/>
      <c r="E782" s="118"/>
      <c r="F782" s="118"/>
      <c r="G782" s="118"/>
      <c r="H782" s="127" t="s">
        <v>13</v>
      </c>
      <c r="I782" s="118" t="s">
        <v>1513</v>
      </c>
      <c r="J782" s="117" t="s">
        <v>1163</v>
      </c>
    </row>
    <row r="783" hidden="1" customHeight="1" spans="1:10">
      <c r="A783" s="2">
        <v>528</v>
      </c>
      <c r="B783" s="137" t="s">
        <v>1514</v>
      </c>
      <c r="C783" s="121" t="s">
        <v>1515</v>
      </c>
      <c r="D783" s="121" t="s">
        <v>1516</v>
      </c>
      <c r="E783" s="132">
        <v>0.98</v>
      </c>
      <c r="F783" s="121" t="s">
        <v>68</v>
      </c>
      <c r="G783" s="121">
        <v>2</v>
      </c>
      <c r="H783" s="127" t="s">
        <v>13</v>
      </c>
      <c r="I783" s="127" t="s">
        <v>1221</v>
      </c>
      <c r="J783" s="127" t="s">
        <v>775</v>
      </c>
    </row>
    <row r="784" hidden="1" customHeight="1" spans="1:10">
      <c r="A784" s="2">
        <v>529</v>
      </c>
      <c r="B784" s="86" t="s">
        <v>1517</v>
      </c>
      <c r="C784" s="121" t="s">
        <v>1518</v>
      </c>
      <c r="D784" s="121" t="s">
        <v>1519</v>
      </c>
      <c r="E784" s="132">
        <v>0.99</v>
      </c>
      <c r="F784" s="121" t="s">
        <v>50</v>
      </c>
      <c r="G784" s="121">
        <v>1</v>
      </c>
      <c r="H784" s="127" t="s">
        <v>13</v>
      </c>
      <c r="I784" s="127" t="s">
        <v>1221</v>
      </c>
      <c r="J784" s="127" t="s">
        <v>775</v>
      </c>
    </row>
    <row r="785" hidden="1" customHeight="1" spans="1:10">
      <c r="A785" s="2">
        <v>530</v>
      </c>
      <c r="B785" s="86" t="s">
        <v>1520</v>
      </c>
      <c r="C785" s="121" t="s">
        <v>1521</v>
      </c>
      <c r="D785" s="121" t="s">
        <v>1522</v>
      </c>
      <c r="E785" s="131">
        <v>0.9999</v>
      </c>
      <c r="F785" s="121" t="s">
        <v>45</v>
      </c>
      <c r="G785" s="121">
        <v>1</v>
      </c>
      <c r="H785" s="127" t="s">
        <v>13</v>
      </c>
      <c r="I785" s="127" t="s">
        <v>1221</v>
      </c>
      <c r="J785" s="127" t="s">
        <v>775</v>
      </c>
    </row>
    <row r="786" hidden="1" customHeight="1" spans="1:10">
      <c r="A786" s="2">
        <v>531</v>
      </c>
      <c r="B786" s="86" t="s">
        <v>1523</v>
      </c>
      <c r="C786" s="121" t="s">
        <v>1524</v>
      </c>
      <c r="D786" s="121" t="s">
        <v>1525</v>
      </c>
      <c r="E786" s="131">
        <v>0.999</v>
      </c>
      <c r="F786" s="121" t="s">
        <v>23</v>
      </c>
      <c r="G786" s="121">
        <v>1</v>
      </c>
      <c r="H786" s="127" t="s">
        <v>13</v>
      </c>
      <c r="I786" s="127" t="s">
        <v>1221</v>
      </c>
      <c r="J786" s="127" t="s">
        <v>775</v>
      </c>
    </row>
    <row r="787" hidden="1" customHeight="1" spans="1:10">
      <c r="A787" s="2">
        <v>532</v>
      </c>
      <c r="B787" s="86" t="s">
        <v>1526</v>
      </c>
      <c r="C787" s="138" t="s">
        <v>1527</v>
      </c>
      <c r="D787" s="121" t="s">
        <v>1528</v>
      </c>
      <c r="E787" s="121"/>
      <c r="F787" s="121"/>
      <c r="G787" s="121">
        <v>2</v>
      </c>
      <c r="H787" s="127" t="s">
        <v>13</v>
      </c>
      <c r="I787" s="127" t="s">
        <v>1221</v>
      </c>
      <c r="J787" s="127" t="s">
        <v>775</v>
      </c>
    </row>
    <row r="788" hidden="1" customHeight="1" spans="1:10">
      <c r="A788" s="2">
        <v>533</v>
      </c>
      <c r="B788" s="86" t="s">
        <v>1529</v>
      </c>
      <c r="C788" s="121" t="s">
        <v>1530</v>
      </c>
      <c r="D788" s="121" t="str">
        <f>_xlfn.DISPIMG("ID_0749EB59C6504EA6A86B330118E3020C",1)</f>
        <v>=DISPIMG("ID_0749EB59C6504EA6A86B330118E3020C",1)</v>
      </c>
      <c r="E788" s="132">
        <v>0.98</v>
      </c>
      <c r="F788" s="121" t="s">
        <v>27</v>
      </c>
      <c r="G788" s="121">
        <v>1</v>
      </c>
      <c r="H788" s="127" t="s">
        <v>13</v>
      </c>
      <c r="I788" s="127" t="s">
        <v>1221</v>
      </c>
      <c r="J788" s="127" t="s">
        <v>775</v>
      </c>
    </row>
    <row r="789" hidden="1" customHeight="1" spans="1:10">
      <c r="A789" s="2">
        <v>555</v>
      </c>
      <c r="B789" s="86" t="s">
        <v>1531</v>
      </c>
      <c r="C789" s="121" t="s">
        <v>1532</v>
      </c>
      <c r="D789" s="121" t="s">
        <v>1533</v>
      </c>
      <c r="E789" s="131">
        <v>0.9995</v>
      </c>
      <c r="F789" s="121" t="s">
        <v>1534</v>
      </c>
      <c r="G789" s="121">
        <v>2</v>
      </c>
      <c r="H789" s="127" t="s">
        <v>13</v>
      </c>
      <c r="I789" s="127" t="s">
        <v>1221</v>
      </c>
      <c r="J789" s="127" t="s">
        <v>196</v>
      </c>
    </row>
    <row r="790" hidden="1" customHeight="1" spans="1:10">
      <c r="A790" s="2">
        <v>605</v>
      </c>
      <c r="B790" s="92" t="s">
        <v>862</v>
      </c>
      <c r="C790" s="127" t="s">
        <v>863</v>
      </c>
      <c r="D790" s="121" t="s">
        <v>864</v>
      </c>
      <c r="E790" s="132">
        <v>0.7</v>
      </c>
      <c r="F790" s="127"/>
      <c r="G790" s="121">
        <v>1</v>
      </c>
      <c r="H790" s="127" t="s">
        <v>13</v>
      </c>
      <c r="I790" s="127" t="s">
        <v>1221</v>
      </c>
      <c r="J790" s="127" t="s">
        <v>221</v>
      </c>
    </row>
    <row r="791" hidden="1" customHeight="1" spans="1:10">
      <c r="A791" s="2">
        <v>608</v>
      </c>
      <c r="B791" s="92" t="s">
        <v>1535</v>
      </c>
      <c r="C791" s="127" t="s">
        <v>263</v>
      </c>
      <c r="D791" s="121" t="str">
        <f>_xlfn.DISPIMG("ID_68F24F6167EC47EA83EAB897DF474AC7",1)</f>
        <v>=DISPIMG("ID_68F24F6167EC47EA83EAB897DF474AC7",1)</v>
      </c>
      <c r="E791" s="132"/>
      <c r="F791" s="127" t="s">
        <v>50</v>
      </c>
      <c r="G791" s="121">
        <v>1</v>
      </c>
      <c r="H791" s="127" t="s">
        <v>13</v>
      </c>
      <c r="I791" s="127" t="s">
        <v>1221</v>
      </c>
      <c r="J791" s="127" t="s">
        <v>221</v>
      </c>
    </row>
    <row r="792" hidden="1" customHeight="1" spans="1:10">
      <c r="A792" s="2">
        <v>609</v>
      </c>
      <c r="B792" s="92" t="s">
        <v>865</v>
      </c>
      <c r="C792" s="127" t="s">
        <v>866</v>
      </c>
      <c r="D792" s="121" t="s">
        <v>867</v>
      </c>
      <c r="E792" s="132"/>
      <c r="F792" s="127" t="s">
        <v>50</v>
      </c>
      <c r="G792" s="121">
        <v>1</v>
      </c>
      <c r="H792" s="127" t="s">
        <v>13</v>
      </c>
      <c r="I792" s="127" t="s">
        <v>1221</v>
      </c>
      <c r="J792" s="127" t="s">
        <v>221</v>
      </c>
    </row>
    <row r="793" hidden="1" customHeight="1" spans="1:10">
      <c r="A793" s="2">
        <v>614</v>
      </c>
      <c r="B793" s="92" t="s">
        <v>1536</v>
      </c>
      <c r="C793" s="127" t="s">
        <v>1537</v>
      </c>
      <c r="D793" s="121" t="str">
        <f>_xlfn.DISPIMG("ID_7467F63D43744AFBB9D07683D88C5E4A",1)</f>
        <v>=DISPIMG("ID_7467F63D43744AFBB9D07683D88C5E4A",1)</v>
      </c>
      <c r="E793" s="132">
        <v>0.97</v>
      </c>
      <c r="F793" s="127" t="s">
        <v>50</v>
      </c>
      <c r="G793" s="121">
        <v>1</v>
      </c>
      <c r="H793" s="127" t="s">
        <v>13</v>
      </c>
      <c r="I793" s="127" t="s">
        <v>1221</v>
      </c>
      <c r="J793" s="127" t="s">
        <v>1538</v>
      </c>
    </row>
    <row r="794" hidden="1" customHeight="1" spans="1:10">
      <c r="A794" s="2">
        <v>635</v>
      </c>
      <c r="B794" s="89" t="s">
        <v>1539</v>
      </c>
      <c r="C794" s="117" t="s">
        <v>1527</v>
      </c>
      <c r="D794" s="135" t="s">
        <v>1540</v>
      </c>
      <c r="E794" s="139"/>
      <c r="F794" s="117" t="s">
        <v>45</v>
      </c>
      <c r="G794" s="139">
        <v>1</v>
      </c>
      <c r="H794" s="117" t="s">
        <v>13</v>
      </c>
      <c r="I794" s="127" t="s">
        <v>1221</v>
      </c>
      <c r="J794" s="117" t="s">
        <v>222</v>
      </c>
    </row>
    <row r="795" hidden="1" customHeight="1" spans="1:10">
      <c r="A795" s="2">
        <v>636</v>
      </c>
      <c r="B795" s="89" t="s">
        <v>1541</v>
      </c>
      <c r="C795" s="117" t="s">
        <v>1542</v>
      </c>
      <c r="D795" s="139" t="str">
        <f>_xlfn.DISPIMG("ID_25A48BBF509F44B0A7FCE1AE47FDD486",1)</f>
        <v>=DISPIMG("ID_25A48BBF509F44B0A7FCE1AE47FDD486",1)</v>
      </c>
      <c r="E795" s="139"/>
      <c r="F795" s="117" t="s">
        <v>12</v>
      </c>
      <c r="G795" s="139">
        <v>1</v>
      </c>
      <c r="H795" s="117" t="s">
        <v>13</v>
      </c>
      <c r="I795" s="127" t="s">
        <v>1221</v>
      </c>
      <c r="J795" s="117" t="s">
        <v>222</v>
      </c>
    </row>
    <row r="796" hidden="1" customHeight="1" spans="1:10">
      <c r="A796" s="2">
        <v>637</v>
      </c>
      <c r="B796" s="86" t="s">
        <v>1531</v>
      </c>
      <c r="C796" s="121" t="s">
        <v>1532</v>
      </c>
      <c r="D796" s="121" t="s">
        <v>1533</v>
      </c>
      <c r="E796" s="121" t="s">
        <v>1543</v>
      </c>
      <c r="F796" s="121"/>
      <c r="G796" s="121">
        <v>1</v>
      </c>
      <c r="H796" s="127" t="s">
        <v>13</v>
      </c>
      <c r="I796" s="127" t="s">
        <v>1221</v>
      </c>
      <c r="J796" s="127" t="s">
        <v>222</v>
      </c>
    </row>
    <row r="797" hidden="1" customHeight="1" spans="2:10">
      <c r="B797" s="108" t="s">
        <v>1544</v>
      </c>
      <c r="C797" s="140" t="s">
        <v>1545</v>
      </c>
      <c r="D797" s="141" t="e">
        <f>_xlfn.DISPIMG("ID_21188063268C405C8FEC013B9B716993",1)</f>
        <v>#REF!</v>
      </c>
      <c r="E797" s="148">
        <v>0.98</v>
      </c>
      <c r="F797" s="140" t="s">
        <v>23</v>
      </c>
      <c r="G797" s="140">
        <v>1</v>
      </c>
      <c r="H797" s="149" t="s">
        <v>272</v>
      </c>
      <c r="I797" s="151" t="s">
        <v>1546</v>
      </c>
      <c r="J797" s="140" t="s">
        <v>280</v>
      </c>
    </row>
    <row r="798" hidden="1" customHeight="1" spans="2:10">
      <c r="B798" s="108" t="s">
        <v>1547</v>
      </c>
      <c r="C798" s="140" t="s">
        <v>1548</v>
      </c>
      <c r="D798" s="141" t="e">
        <f>_xlfn.DISPIMG("ID_4ABFA3329DF14BBDA27D324D7EAA5142",1)</f>
        <v>#REF!</v>
      </c>
      <c r="E798" s="148">
        <v>0.4</v>
      </c>
      <c r="F798" s="140" t="s">
        <v>1549</v>
      </c>
      <c r="G798" s="140">
        <v>1</v>
      </c>
      <c r="H798" s="149" t="s">
        <v>272</v>
      </c>
      <c r="I798" s="151" t="s">
        <v>1546</v>
      </c>
      <c r="J798" s="140" t="s">
        <v>280</v>
      </c>
    </row>
    <row r="799" hidden="1" customHeight="1" spans="2:10">
      <c r="B799" s="108" t="s">
        <v>1550</v>
      </c>
      <c r="C799" s="140" t="s">
        <v>1551</v>
      </c>
      <c r="D799" s="140" t="str">
        <f>_xlfn.DISPIMG("ID_1B3ADFF1AC3F4C46AC664161C05079DC",1)</f>
        <v>=DISPIMG("ID_1B3ADFF1AC3F4C46AC664161C05079DC",1)</v>
      </c>
      <c r="E799" s="148">
        <v>0.99</v>
      </c>
      <c r="F799" s="140" t="s">
        <v>161</v>
      </c>
      <c r="G799" s="140">
        <v>1</v>
      </c>
      <c r="H799" s="149" t="s">
        <v>272</v>
      </c>
      <c r="I799" s="151" t="s">
        <v>1546</v>
      </c>
      <c r="J799" s="140" t="s">
        <v>308</v>
      </c>
    </row>
    <row r="800" hidden="1" customHeight="1" spans="2:10">
      <c r="B800" s="108" t="s">
        <v>1552</v>
      </c>
      <c r="C800" s="140" t="s">
        <v>1553</v>
      </c>
      <c r="D800" s="141" t="e">
        <f>_xlfn.DISPIMG("ID_FA4535740E5B4B5AB71F95652D0D7AA2",1)</f>
        <v>#REF!</v>
      </c>
      <c r="E800" s="140"/>
      <c r="F800" s="140" t="s">
        <v>75</v>
      </c>
      <c r="G800" s="140">
        <v>1</v>
      </c>
      <c r="H800" s="149" t="s">
        <v>272</v>
      </c>
      <c r="I800" s="151" t="s">
        <v>1546</v>
      </c>
      <c r="J800" s="140" t="s">
        <v>305</v>
      </c>
    </row>
    <row r="801" hidden="1" customHeight="1" spans="2:10">
      <c r="B801" s="108" t="s">
        <v>1554</v>
      </c>
      <c r="C801" s="140" t="s">
        <v>1555</v>
      </c>
      <c r="D801" s="140" t="e">
        <f>_xlfn.DISPIMG("ID_AC4BF593881F44129AD3075219EF1E37",1)</f>
        <v>#REF!</v>
      </c>
      <c r="E801" s="140"/>
      <c r="F801" s="140"/>
      <c r="G801" s="140">
        <v>1</v>
      </c>
      <c r="H801" s="149" t="s">
        <v>272</v>
      </c>
      <c r="I801" s="151" t="s">
        <v>1546</v>
      </c>
      <c r="J801" s="140" t="s">
        <v>305</v>
      </c>
    </row>
    <row r="802" hidden="1" customHeight="1" spans="2:10">
      <c r="B802" s="108" t="s">
        <v>1556</v>
      </c>
      <c r="C802" s="140" t="s">
        <v>1557</v>
      </c>
      <c r="D802" s="140" t="e">
        <f>_xlfn.DISPIMG("ID_D2EB908AD6694C1EBA21B6DB36182C06",1)</f>
        <v>#REF!</v>
      </c>
      <c r="E802" s="140" t="s">
        <v>1558</v>
      </c>
      <c r="F802" s="140" t="s">
        <v>45</v>
      </c>
      <c r="G802" s="140">
        <v>1</v>
      </c>
      <c r="H802" s="149" t="s">
        <v>272</v>
      </c>
      <c r="I802" s="151" t="s">
        <v>1546</v>
      </c>
      <c r="J802" s="140" t="s">
        <v>319</v>
      </c>
    </row>
    <row r="803" hidden="1" customHeight="1" spans="1:10">
      <c r="A803" s="2">
        <v>21</v>
      </c>
      <c r="B803" s="86" t="s">
        <v>1559</v>
      </c>
      <c r="C803" s="121" t="s">
        <v>1560</v>
      </c>
      <c r="D803" s="121" t="str">
        <f>_xlfn.DISPIMG("ID_FCC64FE8DBDC47AF81F692052AF925FB",1)</f>
        <v>=DISPIMG("ID_FCC64FE8DBDC47AF81F692052AF925FB",1)</v>
      </c>
      <c r="E803" s="132">
        <v>0.98</v>
      </c>
      <c r="F803" s="121" t="s">
        <v>68</v>
      </c>
      <c r="G803" s="121">
        <v>1</v>
      </c>
      <c r="H803" s="127" t="s">
        <v>13</v>
      </c>
      <c r="I803" s="127" t="s">
        <v>1561</v>
      </c>
      <c r="J803" s="117" t="s">
        <v>592</v>
      </c>
    </row>
    <row r="804" hidden="1" customHeight="1" spans="1:10">
      <c r="A804" s="2">
        <v>240</v>
      </c>
      <c r="B804" s="86" t="s">
        <v>1562</v>
      </c>
      <c r="C804" s="127" t="s">
        <v>1097</v>
      </c>
      <c r="D804" s="121" t="str">
        <f>_xlfn.DISPIMG("ID_F60DF37D92B34D3699642DC9E7C766FE",1)</f>
        <v>=DISPIMG("ID_F60DF37D92B34D3699642DC9E7C766FE",1)</v>
      </c>
      <c r="E804" s="132">
        <v>0.99</v>
      </c>
      <c r="F804" s="121" t="s">
        <v>110</v>
      </c>
      <c r="G804" s="121">
        <v>1</v>
      </c>
      <c r="H804" s="117" t="s">
        <v>13</v>
      </c>
      <c r="I804" s="127" t="s">
        <v>1563</v>
      </c>
      <c r="J804" s="117" t="s">
        <v>1081</v>
      </c>
    </row>
    <row r="805" hidden="1" customHeight="1" spans="1:10">
      <c r="A805" s="2">
        <v>242</v>
      </c>
      <c r="B805" s="89" t="s">
        <v>1564</v>
      </c>
      <c r="C805" s="135" t="s">
        <v>1565</v>
      </c>
      <c r="D805" s="118"/>
      <c r="E805" s="134">
        <v>0.99</v>
      </c>
      <c r="F805" s="117" t="s">
        <v>50</v>
      </c>
      <c r="G805" s="118">
        <v>1</v>
      </c>
      <c r="H805" s="117" t="s">
        <v>13</v>
      </c>
      <c r="I805" s="117" t="s">
        <v>1563</v>
      </c>
      <c r="J805" s="117" t="s">
        <v>1081</v>
      </c>
    </row>
    <row r="806" hidden="1" customHeight="1" spans="1:10">
      <c r="A806" s="2">
        <v>266</v>
      </c>
      <c r="B806" s="86" t="s">
        <v>1566</v>
      </c>
      <c r="C806" s="121" t="s">
        <v>1567</v>
      </c>
      <c r="D806" s="121" t="str">
        <f>_xlfn.DISPIMG("ID_6F4B8C7E62744223A88E7272BD01BBF0",1)</f>
        <v>=DISPIMG("ID_6F4B8C7E62744223A88E7272BD01BBF0",1)</v>
      </c>
      <c r="E806" s="132">
        <v>0.98</v>
      </c>
      <c r="F806" s="121" t="s">
        <v>23</v>
      </c>
      <c r="G806" s="121">
        <v>1</v>
      </c>
      <c r="H806" s="117" t="s">
        <v>13</v>
      </c>
      <c r="I806" s="127" t="s">
        <v>1563</v>
      </c>
      <c r="J806" s="117" t="s">
        <v>603</v>
      </c>
    </row>
    <row r="807" hidden="1" customHeight="1" spans="1:10">
      <c r="A807" s="2">
        <v>267</v>
      </c>
      <c r="B807" s="86" t="s">
        <v>1568</v>
      </c>
      <c r="C807" s="121" t="s">
        <v>1569</v>
      </c>
      <c r="D807" s="121" t="str">
        <f>_xlfn.DISPIMG("ID_0A999397A04C449089B60E0A091D9CCF",1)</f>
        <v>=DISPIMG("ID_0A999397A04C449089B60E0A091D9CCF",1)</v>
      </c>
      <c r="E807" s="131">
        <v>0.995</v>
      </c>
      <c r="F807" s="121" t="s">
        <v>50</v>
      </c>
      <c r="G807" s="121">
        <v>1</v>
      </c>
      <c r="H807" s="117" t="s">
        <v>13</v>
      </c>
      <c r="I807" s="127" t="s">
        <v>1563</v>
      </c>
      <c r="J807" s="117" t="s">
        <v>603</v>
      </c>
    </row>
    <row r="808" hidden="1" customHeight="1" spans="1:10">
      <c r="A808" s="2">
        <v>698</v>
      </c>
      <c r="B808" s="90" t="s">
        <v>1570</v>
      </c>
      <c r="C808" s="118" t="s">
        <v>1571</v>
      </c>
      <c r="D808" s="118" t="str">
        <f>_xlfn.DISPIMG("ID_89867A2ED92A4096B8B32B30A5141A01",1)</f>
        <v>=DISPIMG("ID_89867A2ED92A4096B8B32B30A5141A01",1)</v>
      </c>
      <c r="E808" s="134">
        <v>0.99</v>
      </c>
      <c r="F808" s="118" t="s">
        <v>50</v>
      </c>
      <c r="G808" s="118">
        <v>1</v>
      </c>
      <c r="H808" s="118" t="s">
        <v>272</v>
      </c>
      <c r="I808" s="118" t="s">
        <v>1572</v>
      </c>
      <c r="J808" s="118" t="s">
        <v>883</v>
      </c>
    </row>
    <row r="809" hidden="1" customHeight="1" spans="1:10">
      <c r="A809" s="2">
        <v>701</v>
      </c>
      <c r="B809" s="90" t="s">
        <v>1573</v>
      </c>
      <c r="C809" s="142">
        <v>36320</v>
      </c>
      <c r="D809" s="118" t="str">
        <f>_xlfn.DISPIMG("ID_2B82E4C721E947B980CA4913A7F995C8",1)</f>
        <v>=DISPIMG("ID_2B82E4C721E947B980CA4913A7F995C8",1)</v>
      </c>
      <c r="E809" s="134">
        <v>0.98</v>
      </c>
      <c r="F809" s="118" t="s">
        <v>45</v>
      </c>
      <c r="G809" s="118">
        <v>1</v>
      </c>
      <c r="H809" s="118" t="s">
        <v>272</v>
      </c>
      <c r="I809" s="118" t="s">
        <v>1572</v>
      </c>
      <c r="J809" s="118" t="s">
        <v>883</v>
      </c>
    </row>
    <row r="810" hidden="1" customHeight="1" spans="1:10">
      <c r="A810" s="2">
        <v>705</v>
      </c>
      <c r="B810" s="90" t="s">
        <v>1574</v>
      </c>
      <c r="C810" s="118" t="s">
        <v>1575</v>
      </c>
      <c r="D810" s="118" t="str">
        <f>_xlfn.DISPIMG("ID_F190B8A0804B47E990C9A632B4905BDF",1)</f>
        <v>=DISPIMG("ID_F190B8A0804B47E990C9A632B4905BDF",1)</v>
      </c>
      <c r="E810" s="130">
        <v>0.995</v>
      </c>
      <c r="F810" s="118" t="s">
        <v>45</v>
      </c>
      <c r="G810" s="118">
        <v>1</v>
      </c>
      <c r="H810" s="118" t="s">
        <v>272</v>
      </c>
      <c r="I810" s="118" t="s">
        <v>1572</v>
      </c>
      <c r="J810" s="118" t="s">
        <v>883</v>
      </c>
    </row>
    <row r="811" hidden="1" customHeight="1" spans="1:10">
      <c r="A811" s="2">
        <v>707</v>
      </c>
      <c r="B811" s="90" t="s">
        <v>1576</v>
      </c>
      <c r="C811" s="118" t="s">
        <v>1577</v>
      </c>
      <c r="D811" s="118" t="str">
        <f>_xlfn.DISPIMG("ID_74D7F688B3B444FF8AC661EE384C966F",1)</f>
        <v>=DISPIMG("ID_74D7F688B3B444FF8AC661EE384C966F",1)</v>
      </c>
      <c r="E811" s="134">
        <v>0.99</v>
      </c>
      <c r="F811" s="118"/>
      <c r="G811" s="118">
        <v>1</v>
      </c>
      <c r="H811" s="118" t="s">
        <v>272</v>
      </c>
      <c r="I811" s="118" t="s">
        <v>1572</v>
      </c>
      <c r="J811" s="118" t="s">
        <v>1578</v>
      </c>
    </row>
    <row r="812" hidden="1" customHeight="1" spans="2:10">
      <c r="B812" s="143" t="s">
        <v>1579</v>
      </c>
      <c r="C812" s="117" t="s">
        <v>1580</v>
      </c>
      <c r="D812" s="118" t="str">
        <f>_xlfn.DISPIMG("ID_4EF42AA2A2AD4E3E94BEB622C41F94AE",1)</f>
        <v>=DISPIMG("ID_4EF42AA2A2AD4E3E94BEB622C41F94AE",1)</v>
      </c>
      <c r="E812" s="150">
        <v>0.99</v>
      </c>
      <c r="F812" s="117" t="s">
        <v>45</v>
      </c>
      <c r="G812" s="118">
        <v>1</v>
      </c>
      <c r="H812" s="117" t="s">
        <v>272</v>
      </c>
      <c r="I812" s="117" t="s">
        <v>1572</v>
      </c>
      <c r="J812" s="117" t="s">
        <v>104</v>
      </c>
    </row>
    <row r="813" hidden="1" customHeight="1" spans="2:10">
      <c r="B813" s="143" t="s">
        <v>1581</v>
      </c>
      <c r="C813" s="118" t="s">
        <v>1582</v>
      </c>
      <c r="D813" s="118" t="str">
        <f>_xlfn.DISPIMG("ID_7213B2C4E83B43259147F30A63B9F6F3",1)</f>
        <v>=DISPIMG("ID_7213B2C4E83B43259147F30A63B9F6F3",1)</v>
      </c>
      <c r="E813" s="134">
        <v>0.97</v>
      </c>
      <c r="F813" s="117" t="s">
        <v>581</v>
      </c>
      <c r="G813" s="118">
        <v>1</v>
      </c>
      <c r="H813" s="117" t="s">
        <v>272</v>
      </c>
      <c r="I813" s="117" t="s">
        <v>1572</v>
      </c>
      <c r="J813" s="117" t="s">
        <v>104</v>
      </c>
    </row>
    <row r="814" hidden="1" customHeight="1" spans="2:10">
      <c r="B814" s="143" t="s">
        <v>1583</v>
      </c>
      <c r="C814" s="118" t="s">
        <v>1584</v>
      </c>
      <c r="D814" s="118" t="str">
        <f>_xlfn.DISPIMG("ID_9BBD47968CF14F839D34925412F737F3",1)</f>
        <v>=DISPIMG("ID_9BBD47968CF14F839D34925412F737F3",1)</v>
      </c>
      <c r="E814" s="150">
        <v>0.98</v>
      </c>
      <c r="F814" s="117" t="s">
        <v>45</v>
      </c>
      <c r="G814" s="118">
        <v>1</v>
      </c>
      <c r="H814" s="117" t="s">
        <v>272</v>
      </c>
      <c r="I814" s="117" t="s">
        <v>1572</v>
      </c>
      <c r="J814" s="117" t="s">
        <v>104</v>
      </c>
    </row>
    <row r="815" hidden="1" customHeight="1" spans="2:10">
      <c r="B815" s="89" t="s">
        <v>1585</v>
      </c>
      <c r="C815" s="118" t="s">
        <v>1586</v>
      </c>
      <c r="D815" s="118" t="str">
        <f>_xlfn.DISPIMG("ID_49AE10BFAC2C48878D9410E542621286",1)</f>
        <v>=DISPIMG("ID_49AE10BFAC2C48878D9410E542621286",1)</v>
      </c>
      <c r="E815" s="134">
        <v>0.99</v>
      </c>
      <c r="F815" s="117" t="s">
        <v>45</v>
      </c>
      <c r="G815" s="118">
        <v>1</v>
      </c>
      <c r="H815" s="117" t="s">
        <v>272</v>
      </c>
      <c r="I815" s="117" t="s">
        <v>1572</v>
      </c>
      <c r="J815" s="117" t="s">
        <v>104</v>
      </c>
    </row>
    <row r="816" hidden="1" customHeight="1" spans="2:10">
      <c r="B816" s="144" t="s">
        <v>1587</v>
      </c>
      <c r="C816" s="118" t="s">
        <v>1588</v>
      </c>
      <c r="D816" s="118" t="str">
        <f>_xlfn.DISPIMG("ID_4635FF210EA6472AB5C1A96B2106E988",1)</f>
        <v>=DISPIMG("ID_4635FF210EA6472AB5C1A96B2106E988",1)</v>
      </c>
      <c r="E816" s="134">
        <v>0.98</v>
      </c>
      <c r="F816" s="117" t="s">
        <v>45</v>
      </c>
      <c r="G816" s="118">
        <v>1</v>
      </c>
      <c r="H816" s="117" t="s">
        <v>272</v>
      </c>
      <c r="I816" s="117" t="s">
        <v>1572</v>
      </c>
      <c r="J816" s="117" t="s">
        <v>104</v>
      </c>
    </row>
    <row r="817" hidden="1" customHeight="1" spans="2:10">
      <c r="B817" s="89" t="s">
        <v>1589</v>
      </c>
      <c r="C817" s="118" t="s">
        <v>1590</v>
      </c>
      <c r="D817" s="118" t="str">
        <f>_xlfn.DISPIMG("ID_963CEB56544641038003FF9B33FE7AF7",1)</f>
        <v>=DISPIMG("ID_963CEB56544641038003FF9B33FE7AF7",1)</v>
      </c>
      <c r="E817" s="150">
        <v>0.98</v>
      </c>
      <c r="F817" s="117" t="s">
        <v>27</v>
      </c>
      <c r="G817" s="118">
        <v>1</v>
      </c>
      <c r="H817" s="117" t="s">
        <v>272</v>
      </c>
      <c r="I817" s="117" t="s">
        <v>1572</v>
      </c>
      <c r="J817" s="117" t="s">
        <v>104</v>
      </c>
    </row>
    <row r="818" hidden="1" customHeight="1" spans="2:10">
      <c r="B818" s="89" t="s">
        <v>1591</v>
      </c>
      <c r="C818" s="145" t="s">
        <v>1592</v>
      </c>
      <c r="D818" s="118" t="str">
        <f>_xlfn.DISPIMG("ID_2ED285EB39EF4710915AE2160E600868",1)</f>
        <v>=DISPIMG("ID_2ED285EB39EF4710915AE2160E600868",1)</v>
      </c>
      <c r="E818" s="150">
        <v>0.97</v>
      </c>
      <c r="F818" s="117" t="s">
        <v>27</v>
      </c>
      <c r="G818" s="118">
        <v>1</v>
      </c>
      <c r="H818" s="117" t="s">
        <v>272</v>
      </c>
      <c r="I818" s="117" t="s">
        <v>1572</v>
      </c>
      <c r="J818" s="117" t="s">
        <v>104</v>
      </c>
    </row>
    <row r="819" hidden="1" customHeight="1" spans="1:10">
      <c r="A819" s="2">
        <v>168</v>
      </c>
      <c r="B819" s="89" t="s">
        <v>1593</v>
      </c>
      <c r="C819" s="117" t="s">
        <v>1594</v>
      </c>
      <c r="D819" s="118"/>
      <c r="E819" s="118"/>
      <c r="F819" s="118"/>
      <c r="G819" s="121">
        <v>1</v>
      </c>
      <c r="H819" s="127" t="s">
        <v>13</v>
      </c>
      <c r="I819" s="118" t="s">
        <v>1595</v>
      </c>
      <c r="J819" s="117" t="s">
        <v>402</v>
      </c>
    </row>
    <row r="820" hidden="1" customHeight="1" spans="1:10">
      <c r="A820" s="2">
        <v>188</v>
      </c>
      <c r="B820" s="86" t="s">
        <v>1596</v>
      </c>
      <c r="C820" s="120" t="s">
        <v>1597</v>
      </c>
      <c r="D820" s="120" t="s">
        <v>1598</v>
      </c>
      <c r="E820" s="121" t="s">
        <v>443</v>
      </c>
      <c r="F820" s="121" t="s">
        <v>1599</v>
      </c>
      <c r="G820" s="121">
        <v>1</v>
      </c>
      <c r="H820" s="127" t="s">
        <v>13</v>
      </c>
      <c r="I820" s="127" t="s">
        <v>1600</v>
      </c>
      <c r="J820" s="117" t="s">
        <v>1601</v>
      </c>
    </row>
    <row r="821" hidden="1" customHeight="1" spans="1:10">
      <c r="A821" s="2">
        <v>189</v>
      </c>
      <c r="B821" s="86" t="s">
        <v>1596</v>
      </c>
      <c r="C821" s="120" t="s">
        <v>1597</v>
      </c>
      <c r="D821" s="120" t="s">
        <v>1598</v>
      </c>
      <c r="E821" s="121">
        <v>97</v>
      </c>
      <c r="F821" s="121" t="s">
        <v>57</v>
      </c>
      <c r="G821" s="121">
        <v>1</v>
      </c>
      <c r="H821" s="127" t="s">
        <v>13</v>
      </c>
      <c r="I821" s="127" t="s">
        <v>1600</v>
      </c>
      <c r="J821" s="117" t="s">
        <v>1601</v>
      </c>
    </row>
    <row r="822" hidden="1" customHeight="1" spans="1:10">
      <c r="A822" s="2">
        <v>190</v>
      </c>
      <c r="B822" s="86" t="s">
        <v>1602</v>
      </c>
      <c r="C822" s="121" t="s">
        <v>1603</v>
      </c>
      <c r="D822" s="121" t="str">
        <f>_xlfn.DISPIMG("ID_2C834C64567445BEBBFBAAA53287FAE5",1)</f>
        <v>=DISPIMG("ID_2C834C64567445BEBBFBAAA53287FAE5",1)</v>
      </c>
      <c r="E822" s="132">
        <v>0.99</v>
      </c>
      <c r="F822" s="121" t="s">
        <v>50</v>
      </c>
      <c r="G822" s="121">
        <v>2</v>
      </c>
      <c r="H822" s="127" t="s">
        <v>117</v>
      </c>
      <c r="I822" s="127" t="s">
        <v>1600</v>
      </c>
      <c r="J822" s="117" t="s">
        <v>1601</v>
      </c>
    </row>
    <row r="823" hidden="1" customHeight="1" spans="1:10">
      <c r="A823" s="2">
        <v>191</v>
      </c>
      <c r="B823" s="86" t="s">
        <v>1604</v>
      </c>
      <c r="C823" s="121" t="s">
        <v>1605</v>
      </c>
      <c r="D823" s="121" t="str">
        <f>_xlfn.DISPIMG("ID_53E462E1A6234D0F98AD82576FF99D68",1)</f>
        <v>=DISPIMG("ID_53E462E1A6234D0F98AD82576FF99D68",1)</v>
      </c>
      <c r="E823" s="132">
        <v>0.99</v>
      </c>
      <c r="F823" s="121" t="s">
        <v>57</v>
      </c>
      <c r="G823" s="121">
        <v>1</v>
      </c>
      <c r="H823" s="127" t="s">
        <v>13</v>
      </c>
      <c r="I823" s="127" t="s">
        <v>1600</v>
      </c>
      <c r="J823" s="117" t="s">
        <v>1601</v>
      </c>
    </row>
    <row r="824" hidden="1" customHeight="1" spans="1:10">
      <c r="A824" s="2">
        <v>193</v>
      </c>
      <c r="B824" s="89" t="s">
        <v>1606</v>
      </c>
      <c r="C824" s="146" t="s">
        <v>1607</v>
      </c>
      <c r="D824" s="118" t="str">
        <f>_xlfn.DISPIMG("ID_0CF5609107FA41A2B1DD8EF1C67FB07A",1)</f>
        <v>=DISPIMG("ID_0CF5609107FA41A2B1DD8EF1C67FB07A",1)</v>
      </c>
      <c r="E824" s="134">
        <v>0.99</v>
      </c>
      <c r="F824" s="117" t="s">
        <v>45</v>
      </c>
      <c r="G824" s="118">
        <v>1</v>
      </c>
      <c r="H824" s="117" t="s">
        <v>13</v>
      </c>
      <c r="I824" s="117" t="s">
        <v>1600</v>
      </c>
      <c r="J824" s="117" t="s">
        <v>1601</v>
      </c>
    </row>
    <row r="825" hidden="1" customHeight="1" spans="1:10">
      <c r="A825" s="2">
        <v>257</v>
      </c>
      <c r="B825" s="86" t="s">
        <v>1608</v>
      </c>
      <c r="C825" s="120" t="s">
        <v>1609</v>
      </c>
      <c r="D825" s="121" t="str">
        <f>_xlfn.DISPIMG("ID_4449BEB022A24FBE88189DDDE77AE6B0",1)</f>
        <v>=DISPIMG("ID_4449BEB022A24FBE88189DDDE77AE6B0",1)</v>
      </c>
      <c r="E825" s="131">
        <v>0.99</v>
      </c>
      <c r="F825" s="121" t="s">
        <v>57</v>
      </c>
      <c r="G825" s="121">
        <v>1</v>
      </c>
      <c r="H825" s="127" t="s">
        <v>13</v>
      </c>
      <c r="I825" s="127" t="s">
        <v>1600</v>
      </c>
      <c r="J825" s="117" t="s">
        <v>603</v>
      </c>
    </row>
    <row r="826" hidden="1" customHeight="1" spans="1:10">
      <c r="A826" s="2">
        <v>258</v>
      </c>
      <c r="B826" s="86" t="s">
        <v>1610</v>
      </c>
      <c r="C826" s="120" t="s">
        <v>1611</v>
      </c>
      <c r="D826" s="121" t="str">
        <f>_xlfn.DISPIMG("ID_077B73373BE54BB78A0C0FAF7EF000D2",1)</f>
        <v>=DISPIMG("ID_077B73373BE54BB78A0C0FAF7EF000D2",1)</v>
      </c>
      <c r="E826" s="121" t="s">
        <v>443</v>
      </c>
      <c r="F826" s="121" t="s">
        <v>50</v>
      </c>
      <c r="G826" s="121">
        <v>1</v>
      </c>
      <c r="H826" s="127" t="s">
        <v>13</v>
      </c>
      <c r="I826" s="127" t="s">
        <v>1600</v>
      </c>
      <c r="J826" s="117" t="s">
        <v>603</v>
      </c>
    </row>
    <row r="827" hidden="1" customHeight="1" spans="1:10">
      <c r="A827" s="2">
        <v>264</v>
      </c>
      <c r="B827" s="147" t="s">
        <v>1612</v>
      </c>
      <c r="C827" s="121" t="s">
        <v>1613</v>
      </c>
      <c r="D827" s="121" t="s">
        <v>1614</v>
      </c>
      <c r="E827" s="121"/>
      <c r="F827" s="121"/>
      <c r="G827" s="121">
        <v>1</v>
      </c>
      <c r="H827" s="127" t="s">
        <v>13</v>
      </c>
      <c r="I827" s="127" t="s">
        <v>1600</v>
      </c>
      <c r="J827" s="117" t="s">
        <v>603</v>
      </c>
    </row>
    <row r="828" hidden="1" customHeight="1" spans="1:10">
      <c r="A828" s="2">
        <v>265</v>
      </c>
      <c r="B828" s="86" t="s">
        <v>1615</v>
      </c>
      <c r="C828" s="126" t="s">
        <v>1616</v>
      </c>
      <c r="D828" s="121" t="str">
        <f>_xlfn.DISPIMG("ID_60638D33CA3041A3BA8618CF488133D9",1)</f>
        <v>=DISPIMG("ID_60638D33CA3041A3BA8618CF488133D9",1)</v>
      </c>
      <c r="E828" s="132">
        <v>0.99</v>
      </c>
      <c r="F828" s="121" t="s">
        <v>110</v>
      </c>
      <c r="G828" s="121">
        <v>1</v>
      </c>
      <c r="H828" s="127" t="s">
        <v>13</v>
      </c>
      <c r="I828" s="127" t="s">
        <v>1600</v>
      </c>
      <c r="J828" s="117" t="s">
        <v>603</v>
      </c>
    </row>
    <row r="829" hidden="1" customHeight="1" spans="1:10">
      <c r="A829" s="2">
        <v>268</v>
      </c>
      <c r="B829" s="89" t="s">
        <v>1593</v>
      </c>
      <c r="C829" s="117" t="s">
        <v>1594</v>
      </c>
      <c r="D829" s="118"/>
      <c r="E829" s="118"/>
      <c r="F829" s="118"/>
      <c r="G829" s="118"/>
      <c r="H829" s="127" t="s">
        <v>13</v>
      </c>
      <c r="I829" s="117" t="s">
        <v>1600</v>
      </c>
      <c r="J829" s="117" t="s">
        <v>603</v>
      </c>
    </row>
    <row r="830" hidden="1" customHeight="1" spans="1:10">
      <c r="A830" s="2">
        <v>272</v>
      </c>
      <c r="B830" s="89" t="s">
        <v>1617</v>
      </c>
      <c r="C830" s="117" t="s">
        <v>1268</v>
      </c>
      <c r="D830" s="118" t="str">
        <f>_xlfn.DISPIMG("ID_48FB6FEA943F46C1BB6C188E067D98D7",1)</f>
        <v>=DISPIMG("ID_48FB6FEA943F46C1BB6C188E067D98D7",1)</v>
      </c>
      <c r="E830" s="134">
        <v>0.99</v>
      </c>
      <c r="F830" s="117" t="s">
        <v>1618</v>
      </c>
      <c r="G830" s="118">
        <v>1</v>
      </c>
      <c r="H830" s="118" t="s">
        <v>449</v>
      </c>
      <c r="I830" s="117" t="s">
        <v>1600</v>
      </c>
      <c r="J830" s="117" t="s">
        <v>603</v>
      </c>
    </row>
    <row r="831" hidden="1" customHeight="1" spans="1:10">
      <c r="A831" s="2">
        <v>275</v>
      </c>
      <c r="B831" s="89" t="s">
        <v>1619</v>
      </c>
      <c r="C831" s="117" t="s">
        <v>1620</v>
      </c>
      <c r="D831" s="118" t="str">
        <f>_xlfn.DISPIMG("ID_D4E9C56C1F154E7992E9D1F56780F72A",1)</f>
        <v>=DISPIMG("ID_D4E9C56C1F154E7992E9D1F56780F72A",1)</v>
      </c>
      <c r="E831" s="130">
        <v>0.99</v>
      </c>
      <c r="F831" s="117" t="s">
        <v>57</v>
      </c>
      <c r="G831" s="118"/>
      <c r="H831" s="118"/>
      <c r="I831" s="117" t="s">
        <v>1600</v>
      </c>
      <c r="J831" s="117" t="s">
        <v>603</v>
      </c>
    </row>
    <row r="832" hidden="1" customHeight="1" spans="1:10">
      <c r="A832" s="2">
        <v>294</v>
      </c>
      <c r="B832" s="86" t="s">
        <v>1621</v>
      </c>
      <c r="C832" s="121" t="s">
        <v>1620</v>
      </c>
      <c r="D832" s="121" t="s">
        <v>1622</v>
      </c>
      <c r="E832" s="131">
        <v>0.995</v>
      </c>
      <c r="F832" s="121" t="s">
        <v>57</v>
      </c>
      <c r="G832" s="121">
        <v>1</v>
      </c>
      <c r="H832" s="127" t="s">
        <v>13</v>
      </c>
      <c r="I832" s="127" t="s">
        <v>1600</v>
      </c>
      <c r="J832" s="117" t="s">
        <v>1115</v>
      </c>
    </row>
    <row r="833" hidden="1" customHeight="1" spans="1:10">
      <c r="A833" s="2">
        <v>296</v>
      </c>
      <c r="B833" s="86" t="s">
        <v>1623</v>
      </c>
      <c r="C833" s="120" t="s">
        <v>1624</v>
      </c>
      <c r="D833" s="120" t="s">
        <v>1625</v>
      </c>
      <c r="E833" s="121" t="s">
        <v>443</v>
      </c>
      <c r="F833" s="121" t="s">
        <v>57</v>
      </c>
      <c r="G833" s="121">
        <v>1</v>
      </c>
      <c r="H833" s="127" t="s">
        <v>13</v>
      </c>
      <c r="I833" s="127" t="s">
        <v>1600</v>
      </c>
      <c r="J833" s="117" t="s">
        <v>408</v>
      </c>
    </row>
    <row r="834" hidden="1" customHeight="1" spans="1:10">
      <c r="A834" s="2">
        <v>299</v>
      </c>
      <c r="B834" s="86" t="s">
        <v>1626</v>
      </c>
      <c r="C834" s="121" t="s">
        <v>1607</v>
      </c>
      <c r="D834" s="121" t="str">
        <f>_xlfn.DISPIMG("ID_737BB682C03E4F0E98D7C3C082F240EC",1)</f>
        <v>=DISPIMG("ID_737BB682C03E4F0E98D7C3C082F240EC",1)</v>
      </c>
      <c r="E834" s="132">
        <v>0.99</v>
      </c>
      <c r="F834" s="121" t="s">
        <v>50</v>
      </c>
      <c r="G834" s="121">
        <v>1</v>
      </c>
      <c r="H834" s="127" t="s">
        <v>13</v>
      </c>
      <c r="I834" s="127" t="s">
        <v>1600</v>
      </c>
      <c r="J834" s="117" t="s">
        <v>408</v>
      </c>
    </row>
    <row r="835" hidden="1" customHeight="1" spans="1:10">
      <c r="A835" s="2">
        <v>300</v>
      </c>
      <c r="B835" s="147" t="s">
        <v>1627</v>
      </c>
      <c r="C835" s="121" t="s">
        <v>1268</v>
      </c>
      <c r="D835" s="121" t="s">
        <v>1628</v>
      </c>
      <c r="E835" s="121"/>
      <c r="F835" s="121" t="s">
        <v>1104</v>
      </c>
      <c r="G835" s="121">
        <v>2</v>
      </c>
      <c r="H835" s="127" t="s">
        <v>13</v>
      </c>
      <c r="I835" s="127" t="s">
        <v>1600</v>
      </c>
      <c r="J835" s="117" t="s">
        <v>408</v>
      </c>
    </row>
    <row r="836" hidden="1" customHeight="1" spans="1:10">
      <c r="A836" s="2">
        <v>301</v>
      </c>
      <c r="B836" s="147" t="s">
        <v>1629</v>
      </c>
      <c r="C836" s="121" t="s">
        <v>1308</v>
      </c>
      <c r="D836" s="121" t="s">
        <v>1630</v>
      </c>
      <c r="E836" s="131">
        <v>0.985</v>
      </c>
      <c r="F836" s="121" t="s">
        <v>57</v>
      </c>
      <c r="G836" s="121">
        <v>1</v>
      </c>
      <c r="H836" s="127" t="s">
        <v>13</v>
      </c>
      <c r="I836" s="127" t="s">
        <v>1600</v>
      </c>
      <c r="J836" s="117" t="s">
        <v>408</v>
      </c>
    </row>
    <row r="837" hidden="1" customHeight="1" spans="1:10">
      <c r="A837" s="2">
        <v>302</v>
      </c>
      <c r="B837" s="147" t="s">
        <v>1631</v>
      </c>
      <c r="C837" s="121" t="s">
        <v>1632</v>
      </c>
      <c r="D837" s="121" t="s">
        <v>1598</v>
      </c>
      <c r="E837" s="132"/>
      <c r="F837" s="121"/>
      <c r="G837" s="121">
        <v>1</v>
      </c>
      <c r="H837" s="127" t="s">
        <v>13</v>
      </c>
      <c r="I837" s="127" t="s">
        <v>1600</v>
      </c>
      <c r="J837" s="117" t="s">
        <v>408</v>
      </c>
    </row>
    <row r="838" hidden="1" customHeight="1" spans="1:10">
      <c r="A838" s="2">
        <v>303</v>
      </c>
      <c r="B838" s="86" t="s">
        <v>1633</v>
      </c>
      <c r="C838" s="121" t="s">
        <v>1634</v>
      </c>
      <c r="D838" s="121" t="str">
        <f>_xlfn.DISPIMG("ID_887B7DB677E04A8CA4BE63DF78BB380D",1)</f>
        <v>=DISPIMG("ID_887B7DB677E04A8CA4BE63DF78BB380D",1)</v>
      </c>
      <c r="E838" s="121"/>
      <c r="F838" s="121"/>
      <c r="G838" s="121">
        <v>1</v>
      </c>
      <c r="H838" s="127" t="s">
        <v>13</v>
      </c>
      <c r="I838" s="127" t="s">
        <v>1600</v>
      </c>
      <c r="J838" s="117" t="s">
        <v>408</v>
      </c>
    </row>
    <row r="839" hidden="1" customHeight="1" spans="1:10">
      <c r="A839" s="2">
        <v>304</v>
      </c>
      <c r="B839" s="86" t="s">
        <v>1635</v>
      </c>
      <c r="C839" s="121" t="s">
        <v>1594</v>
      </c>
      <c r="D839" s="121" t="str">
        <f>_xlfn.DISPIMG("ID_EDD2A84FB29943F79C4DCA4DCBFA26F8",1)</f>
        <v>=DISPIMG("ID_EDD2A84FB29943F79C4DCA4DCBFA26F8",1)</v>
      </c>
      <c r="E839" s="121"/>
      <c r="F839" s="121" t="s">
        <v>57</v>
      </c>
      <c r="G839" s="121">
        <v>1</v>
      </c>
      <c r="H839" s="127" t="s">
        <v>13</v>
      </c>
      <c r="I839" s="127" t="s">
        <v>1600</v>
      </c>
      <c r="J839" s="117" t="s">
        <v>408</v>
      </c>
    </row>
    <row r="840" hidden="1" customHeight="1" spans="1:10">
      <c r="A840" s="2">
        <v>305</v>
      </c>
      <c r="B840" s="86" t="s">
        <v>1623</v>
      </c>
      <c r="C840" s="127" t="s">
        <v>1636</v>
      </c>
      <c r="D840" s="121" t="s">
        <v>1625</v>
      </c>
      <c r="E840" s="132">
        <v>0.99</v>
      </c>
      <c r="F840" s="121" t="s">
        <v>57</v>
      </c>
      <c r="G840" s="121">
        <v>1</v>
      </c>
      <c r="H840" s="127" t="s">
        <v>13</v>
      </c>
      <c r="I840" s="127" t="s">
        <v>1600</v>
      </c>
      <c r="J840" s="117" t="s">
        <v>408</v>
      </c>
    </row>
    <row r="841" hidden="1" customHeight="1" spans="1:10">
      <c r="A841" s="2">
        <v>306</v>
      </c>
      <c r="B841" s="86" t="s">
        <v>1637</v>
      </c>
      <c r="C841" s="127" t="s">
        <v>1594</v>
      </c>
      <c r="D841" s="121" t="str">
        <f>_xlfn.DISPIMG("ID_7F52AE356F0C4F03B76987CF23D46B2B",1)</f>
        <v>=DISPIMG("ID_7F52AE356F0C4F03B76987CF23D46B2B",1)</v>
      </c>
      <c r="E841" s="121"/>
      <c r="F841" s="121"/>
      <c r="G841" s="121">
        <v>1</v>
      </c>
      <c r="H841" s="127" t="s">
        <v>13</v>
      </c>
      <c r="I841" s="127" t="s">
        <v>1600</v>
      </c>
      <c r="J841" s="117" t="s">
        <v>408</v>
      </c>
    </row>
    <row r="842" hidden="1" customHeight="1" spans="1:10">
      <c r="A842" s="2">
        <v>317</v>
      </c>
      <c r="B842" s="89" t="s">
        <v>1638</v>
      </c>
      <c r="C842" s="117" t="s">
        <v>1639</v>
      </c>
      <c r="D842" s="118"/>
      <c r="E842" s="118"/>
      <c r="F842" s="118"/>
      <c r="G842" s="118"/>
      <c r="H842" s="117" t="s">
        <v>13</v>
      </c>
      <c r="I842" s="118" t="s">
        <v>1595</v>
      </c>
      <c r="J842" s="117" t="s">
        <v>1163</v>
      </c>
    </row>
    <row r="843" hidden="1" customHeight="1" spans="1:10">
      <c r="A843" s="2">
        <v>318</v>
      </c>
      <c r="B843" s="89" t="s">
        <v>1619</v>
      </c>
      <c r="C843" s="117" t="s">
        <v>1639</v>
      </c>
      <c r="D843" s="117"/>
      <c r="E843" s="118"/>
      <c r="F843" s="118"/>
      <c r="G843" s="118"/>
      <c r="H843" s="127" t="s">
        <v>117</v>
      </c>
      <c r="I843" s="118" t="s">
        <v>1595</v>
      </c>
      <c r="J843" s="117" t="s">
        <v>1163</v>
      </c>
    </row>
    <row r="844" hidden="1" customHeight="1" spans="1:10">
      <c r="A844" s="2">
        <v>356</v>
      </c>
      <c r="B844" s="90" t="s">
        <v>1640</v>
      </c>
      <c r="C844" s="117" t="s">
        <v>1641</v>
      </c>
      <c r="D844" s="118" t="str">
        <f>_xlfn.DISPIMG("ID_BA270DE8283A49BC912A7D64F47744FB",1)</f>
        <v>=DISPIMG("ID_BA270DE8283A49BC912A7D64F47744FB",1)</v>
      </c>
      <c r="E844" s="134">
        <v>0.98</v>
      </c>
      <c r="F844" s="117" t="s">
        <v>23</v>
      </c>
      <c r="G844" s="118"/>
      <c r="H844" s="118"/>
      <c r="I844" s="117" t="s">
        <v>1600</v>
      </c>
      <c r="J844" s="117" t="s">
        <v>463</v>
      </c>
    </row>
    <row r="845" hidden="1" customHeight="1" spans="1:10">
      <c r="A845" s="2">
        <v>526</v>
      </c>
      <c r="B845" s="86" t="s">
        <v>1642</v>
      </c>
      <c r="C845" s="121" t="s">
        <v>1643</v>
      </c>
      <c r="D845" s="121" t="s">
        <v>1644</v>
      </c>
      <c r="E845" s="131">
        <v>0.985</v>
      </c>
      <c r="F845" s="121" t="s">
        <v>57</v>
      </c>
      <c r="G845" s="121">
        <v>1</v>
      </c>
      <c r="H845" s="127" t="s">
        <v>13</v>
      </c>
      <c r="I845" s="127" t="s">
        <v>1600</v>
      </c>
      <c r="J845" s="127" t="s">
        <v>187</v>
      </c>
    </row>
    <row r="846" hidden="1" customHeight="1" spans="1:10">
      <c r="A846" s="2">
        <v>556</v>
      </c>
      <c r="B846" s="86" t="s">
        <v>1645</v>
      </c>
      <c r="C846" s="121" t="s">
        <v>1646</v>
      </c>
      <c r="D846" s="121" t="str">
        <f>_xlfn.DISPIMG("ID_DA60608827B84E148E0E2745E5439712",1)</f>
        <v>=DISPIMG("ID_DA60608827B84E148E0E2745E5439712",1)</v>
      </c>
      <c r="E846" s="121"/>
      <c r="F846" s="121" t="s">
        <v>175</v>
      </c>
      <c r="G846" s="121">
        <v>1</v>
      </c>
      <c r="H846" s="127" t="s">
        <v>13</v>
      </c>
      <c r="I846" s="127" t="s">
        <v>1600</v>
      </c>
      <c r="J846" s="127" t="s">
        <v>196</v>
      </c>
    </row>
    <row r="847" hidden="1" customHeight="1" spans="1:10">
      <c r="A847" s="2">
        <v>687</v>
      </c>
      <c r="B847" s="89" t="s">
        <v>1647</v>
      </c>
      <c r="C847" s="117" t="s">
        <v>1648</v>
      </c>
      <c r="D847" s="118" t="str">
        <f>_xlfn.DISPIMG("ID_0696D9BAA3F6474E81D6B4F86629E059",1)</f>
        <v>=DISPIMG("ID_0696D9BAA3F6474E81D6B4F86629E059",1)</v>
      </c>
      <c r="E847" s="117" t="s">
        <v>1649</v>
      </c>
      <c r="F847" s="117" t="s">
        <v>50</v>
      </c>
      <c r="G847" s="118">
        <v>1</v>
      </c>
      <c r="H847" s="117" t="s">
        <v>272</v>
      </c>
      <c r="I847" s="117" t="s">
        <v>1650</v>
      </c>
      <c r="J847" s="117" t="s">
        <v>877</v>
      </c>
    </row>
    <row r="848" hidden="1" customHeight="1" spans="1:10">
      <c r="A848" s="2">
        <v>689</v>
      </c>
      <c r="B848" s="89" t="s">
        <v>1651</v>
      </c>
      <c r="C848" s="117" t="s">
        <v>1399</v>
      </c>
      <c r="D848" s="118" t="str">
        <f>_xlfn.DISPIMG("ID_8CE1B54F8F3E49A59054273DACDCD3A0",1)</f>
        <v>=DISPIMG("ID_8CE1B54F8F3E49A59054273DACDCD3A0",1)</v>
      </c>
      <c r="E848" s="117" t="s">
        <v>1652</v>
      </c>
      <c r="F848" s="117" t="s">
        <v>175</v>
      </c>
      <c r="G848" s="118">
        <v>1</v>
      </c>
      <c r="H848" s="117" t="s">
        <v>272</v>
      </c>
      <c r="I848" s="117" t="s">
        <v>1650</v>
      </c>
      <c r="J848" s="117" t="s">
        <v>877</v>
      </c>
    </row>
    <row r="849" hidden="1" customHeight="1" spans="1:10">
      <c r="A849" s="2">
        <v>697</v>
      </c>
      <c r="B849" s="90" t="s">
        <v>1653</v>
      </c>
      <c r="C849" s="118" t="s">
        <v>1654</v>
      </c>
      <c r="D849" s="118" t="str">
        <f>_xlfn.DISPIMG("ID_E4D895DCFAE44BD4AD4C9164BCA32830",1)</f>
        <v>=DISPIMG("ID_E4D895DCFAE44BD4AD4C9164BCA32830",1)</v>
      </c>
      <c r="E849" s="134">
        <v>0.95</v>
      </c>
      <c r="F849" s="118" t="s">
        <v>27</v>
      </c>
      <c r="G849" s="118">
        <v>1</v>
      </c>
      <c r="H849" s="118" t="s">
        <v>272</v>
      </c>
      <c r="I849" s="118" t="s">
        <v>1650</v>
      </c>
      <c r="J849" s="118" t="s">
        <v>883</v>
      </c>
    </row>
    <row r="850" hidden="1" customHeight="1" spans="1:10">
      <c r="A850" s="2">
        <v>699</v>
      </c>
      <c r="B850" s="90" t="s">
        <v>1655</v>
      </c>
      <c r="C850" s="118" t="s">
        <v>1656</v>
      </c>
      <c r="D850" s="118" t="str">
        <f>_xlfn.DISPIMG("ID_E3649B6AF8EF410781B003F342C7478E",1)</f>
        <v>=DISPIMG("ID_E3649B6AF8EF410781B003F342C7478E",1)</v>
      </c>
      <c r="E850" s="134">
        <v>0.95</v>
      </c>
      <c r="F850" s="118" t="s">
        <v>23</v>
      </c>
      <c r="G850" s="118">
        <v>1</v>
      </c>
      <c r="H850" s="118" t="s">
        <v>272</v>
      </c>
      <c r="I850" s="118" t="s">
        <v>1650</v>
      </c>
      <c r="J850" s="118" t="s">
        <v>883</v>
      </c>
    </row>
    <row r="851" hidden="1" customHeight="1" spans="1:10">
      <c r="A851" s="2">
        <v>702</v>
      </c>
      <c r="B851" s="90" t="s">
        <v>1657</v>
      </c>
      <c r="C851" s="142">
        <v>69521</v>
      </c>
      <c r="D851" s="118" t="str">
        <f>_xlfn.DISPIMG("ID_0330D3E613FB4C2BA044B2FEBFF82D6C",1)</f>
        <v>=DISPIMG("ID_0330D3E613FB4C2BA044B2FEBFF82D6C",1)</v>
      </c>
      <c r="E851" s="134">
        <v>0.98</v>
      </c>
      <c r="F851" s="118"/>
      <c r="G851" s="118">
        <v>1</v>
      </c>
      <c r="H851" s="118" t="s">
        <v>272</v>
      </c>
      <c r="I851" s="118" t="s">
        <v>1650</v>
      </c>
      <c r="J851" s="118" t="s">
        <v>883</v>
      </c>
    </row>
    <row r="852" hidden="1" customHeight="1" spans="1:10">
      <c r="A852" s="2">
        <v>704</v>
      </c>
      <c r="B852" s="90" t="s">
        <v>1658</v>
      </c>
      <c r="C852" s="118" t="s">
        <v>736</v>
      </c>
      <c r="D852" s="118" t="str">
        <f>_xlfn.DISPIMG("ID_5A1610F6746B4580B7155395AA920309",1)</f>
        <v>=DISPIMG("ID_5A1610F6746B4580B7155395AA920309",1)</v>
      </c>
      <c r="E852" s="134">
        <v>0.98</v>
      </c>
      <c r="F852" s="118" t="s">
        <v>50</v>
      </c>
      <c r="G852" s="118">
        <v>1</v>
      </c>
      <c r="H852" s="118" t="s">
        <v>272</v>
      </c>
      <c r="I852" s="118" t="s">
        <v>1650</v>
      </c>
      <c r="J852" s="118" t="s">
        <v>883</v>
      </c>
    </row>
    <row r="853" hidden="1" customHeight="1" spans="2:10">
      <c r="B853" s="108" t="s">
        <v>1659</v>
      </c>
      <c r="C853" s="140" t="s">
        <v>1660</v>
      </c>
      <c r="D853" s="141" t="e">
        <f>_xlfn.DISPIMG("ID_07AF064FE851413DA79B115CC2E4F647",1)</f>
        <v>#REF!</v>
      </c>
      <c r="E853" s="148">
        <v>0.4</v>
      </c>
      <c r="F853" s="140" t="s">
        <v>1549</v>
      </c>
      <c r="G853" s="140">
        <v>1</v>
      </c>
      <c r="H853" s="149" t="s">
        <v>272</v>
      </c>
      <c r="I853" s="151" t="s">
        <v>1650</v>
      </c>
      <c r="J853" s="140" t="s">
        <v>280</v>
      </c>
    </row>
    <row r="854" hidden="1" customHeight="1" spans="2:10">
      <c r="B854" s="108" t="s">
        <v>1661</v>
      </c>
      <c r="C854" s="140" t="s">
        <v>1662</v>
      </c>
      <c r="D854" s="141" t="e">
        <f>_xlfn.DISPIMG("ID_407BDB5A4E354A60948D314B2312C762",1)</f>
        <v>#REF!</v>
      </c>
      <c r="E854" s="140" t="s">
        <v>1663</v>
      </c>
      <c r="F854" s="140" t="s">
        <v>45</v>
      </c>
      <c r="G854" s="140">
        <v>1</v>
      </c>
      <c r="H854" s="149" t="s">
        <v>272</v>
      </c>
      <c r="I854" s="151" t="s">
        <v>1650</v>
      </c>
      <c r="J854" s="140" t="s">
        <v>319</v>
      </c>
    </row>
    <row r="855" hidden="1" customHeight="1" spans="2:10">
      <c r="B855" s="88" t="s">
        <v>1664</v>
      </c>
      <c r="C855" s="140" t="s">
        <v>1665</v>
      </c>
      <c r="D855" s="140" t="str">
        <f>_xlfn.DISPIMG("ID_63B3EB77EA7A4F7CB07AFA29398407C2",1)</f>
        <v>=DISPIMG("ID_63B3EB77EA7A4F7CB07AFA29398407C2",1)</v>
      </c>
      <c r="E855" s="148">
        <v>0.98</v>
      </c>
      <c r="F855" s="140" t="s">
        <v>23</v>
      </c>
      <c r="G855" s="140">
        <v>1</v>
      </c>
      <c r="H855" s="149" t="s">
        <v>272</v>
      </c>
      <c r="I855" s="151" t="s">
        <v>1650</v>
      </c>
      <c r="J855" s="140" t="s">
        <v>305</v>
      </c>
    </row>
    <row r="856" hidden="1" customHeight="1" spans="2:10">
      <c r="B856" s="108" t="s">
        <v>1666</v>
      </c>
      <c r="C856" s="140" t="s">
        <v>1667</v>
      </c>
      <c r="D856" s="140" t="e">
        <f>_xlfn.DISPIMG("ID_C5B1142431924192B18CC608B102B5C2",1)</f>
        <v>#REF!</v>
      </c>
      <c r="E856" s="148">
        <v>0.99</v>
      </c>
      <c r="F856" s="140"/>
      <c r="G856" s="140">
        <v>1</v>
      </c>
      <c r="H856" s="149" t="s">
        <v>272</v>
      </c>
      <c r="I856" s="151" t="s">
        <v>1650</v>
      </c>
      <c r="J856" s="140" t="s">
        <v>316</v>
      </c>
    </row>
    <row r="857" hidden="1" customHeight="1" spans="2:10">
      <c r="B857" s="108" t="s">
        <v>1668</v>
      </c>
      <c r="C857" s="140" t="s">
        <v>1669</v>
      </c>
      <c r="D857" s="141" t="e">
        <f>_xlfn.DISPIMG("ID_EF4E21419AE94F4E9C6316962B6FCC42",1)</f>
        <v>#REF!</v>
      </c>
      <c r="E857" s="148">
        <v>0.99</v>
      </c>
      <c r="F857" s="140" t="s">
        <v>50</v>
      </c>
      <c r="G857" s="140">
        <v>1</v>
      </c>
      <c r="H857" s="149" t="s">
        <v>272</v>
      </c>
      <c r="I857" s="151" t="s">
        <v>1650</v>
      </c>
      <c r="J857" s="140" t="s">
        <v>316</v>
      </c>
    </row>
    <row r="858" hidden="1" customHeight="1" spans="2:10">
      <c r="B858" s="108" t="s">
        <v>1670</v>
      </c>
      <c r="C858" s="140" t="s">
        <v>1671</v>
      </c>
      <c r="D858" s="140" t="e">
        <f>_xlfn.DISPIMG("ID_16CB402B8D4B4B1E8CE46EB33E614267",1)</f>
        <v>#REF!</v>
      </c>
      <c r="E858" s="148">
        <v>0.98</v>
      </c>
      <c r="F858" s="140" t="s">
        <v>50</v>
      </c>
      <c r="G858" s="140">
        <v>1</v>
      </c>
      <c r="H858" s="149" t="s">
        <v>272</v>
      </c>
      <c r="I858" s="151" t="s">
        <v>1650</v>
      </c>
      <c r="J858" s="140" t="s">
        <v>316</v>
      </c>
    </row>
    <row r="859" hidden="1" customHeight="1" spans="2:10">
      <c r="B859" s="88" t="s">
        <v>938</v>
      </c>
      <c r="C859" s="140" t="s">
        <v>939</v>
      </c>
      <c r="D859" s="140" t="e">
        <f>_xlfn.DISPIMG("ID_9A2FED9D39F842A59A50F65377AEF7DA",1)</f>
        <v>#REF!</v>
      </c>
      <c r="E859" s="148">
        <v>0.98</v>
      </c>
      <c r="F859" s="140" t="s">
        <v>23</v>
      </c>
      <c r="G859" s="140">
        <v>1</v>
      </c>
      <c r="H859" s="149" t="s">
        <v>272</v>
      </c>
      <c r="I859" s="151" t="s">
        <v>1650</v>
      </c>
      <c r="J859" s="140" t="s">
        <v>316</v>
      </c>
    </row>
    <row r="860" hidden="1" customHeight="1" spans="1:10">
      <c r="A860" s="2">
        <v>309</v>
      </c>
      <c r="B860" s="89" t="s">
        <v>1672</v>
      </c>
      <c r="C860" s="152" t="s">
        <v>1673</v>
      </c>
      <c r="D860" s="118"/>
      <c r="E860" s="118"/>
      <c r="F860" s="118"/>
      <c r="G860" s="118">
        <v>1</v>
      </c>
      <c r="H860" s="117" t="s">
        <v>135</v>
      </c>
      <c r="I860" s="117" t="s">
        <v>1674</v>
      </c>
      <c r="J860" s="117" t="s">
        <v>609</v>
      </c>
    </row>
    <row r="861" hidden="1" customHeight="1" spans="1:10">
      <c r="A861" s="2">
        <v>177</v>
      </c>
      <c r="B861" s="86" t="s">
        <v>1675</v>
      </c>
      <c r="C861" s="120" t="s">
        <v>1676</v>
      </c>
      <c r="D861" s="121" t="str">
        <f>_xlfn.DISPIMG("ID_1C8EBEA7EAAF451895F95B1888834890",1)</f>
        <v>=DISPIMG("ID_1C8EBEA7EAAF451895F95B1888834890",1)</v>
      </c>
      <c r="E861" s="132">
        <v>0.99</v>
      </c>
      <c r="F861" s="121" t="s">
        <v>94</v>
      </c>
      <c r="G861" s="121">
        <v>1</v>
      </c>
      <c r="H861" s="117" t="s">
        <v>13</v>
      </c>
      <c r="I861" s="127" t="s">
        <v>1677</v>
      </c>
      <c r="J861" s="117" t="s">
        <v>440</v>
      </c>
    </row>
    <row r="862" hidden="1" customHeight="1" spans="1:10">
      <c r="A862" s="2">
        <v>178</v>
      </c>
      <c r="B862" s="86" t="s">
        <v>1678</v>
      </c>
      <c r="C862" s="120" t="s">
        <v>1679</v>
      </c>
      <c r="D862" s="127" t="str">
        <f>_xlfn.DISPIMG("ID_9B1C77621CAA493FABDBF31C15C8A232",1)</f>
        <v>=DISPIMG("ID_9B1C77621CAA493FABDBF31C15C8A232",1)</v>
      </c>
      <c r="E862" s="121"/>
      <c r="F862" s="121" t="s">
        <v>175</v>
      </c>
      <c r="G862" s="121">
        <v>1</v>
      </c>
      <c r="H862" s="117" t="s">
        <v>13</v>
      </c>
      <c r="I862" s="127" t="s">
        <v>1677</v>
      </c>
      <c r="J862" s="117" t="s">
        <v>440</v>
      </c>
    </row>
    <row r="863" hidden="1" customHeight="1" spans="1:10">
      <c r="A863" s="2">
        <v>251</v>
      </c>
      <c r="B863" s="86" t="s">
        <v>1680</v>
      </c>
      <c r="C863" s="127" t="s">
        <v>1681</v>
      </c>
      <c r="D863" s="121" t="str">
        <f>_xlfn.DISPIMG("ID_46AF3F3708F24E9A957E6BFC23D00278",1)</f>
        <v>=DISPIMG("ID_46AF3F3708F24E9A957E6BFC23D00278",1)</v>
      </c>
      <c r="E863" s="132">
        <v>0.99</v>
      </c>
      <c r="F863" s="121" t="s">
        <v>12</v>
      </c>
      <c r="G863" s="121">
        <v>1</v>
      </c>
      <c r="H863" s="127" t="s">
        <v>13</v>
      </c>
      <c r="I863" s="127" t="s">
        <v>1677</v>
      </c>
      <c r="J863" s="117" t="s">
        <v>1148</v>
      </c>
    </row>
    <row r="864" hidden="1" customHeight="1" spans="1:10">
      <c r="A864" s="2">
        <v>269</v>
      </c>
      <c r="B864" s="89" t="s">
        <v>1682</v>
      </c>
      <c r="C864" s="117" t="s">
        <v>1683</v>
      </c>
      <c r="D864" s="118"/>
      <c r="E864" s="118"/>
      <c r="F864" s="118"/>
      <c r="G864" s="118"/>
      <c r="H864" s="117" t="s">
        <v>13</v>
      </c>
      <c r="I864" s="118" t="s">
        <v>1684</v>
      </c>
      <c r="J864" s="117" t="s">
        <v>603</v>
      </c>
    </row>
    <row r="865" hidden="1" customHeight="1" spans="1:10">
      <c r="A865" s="2">
        <v>274</v>
      </c>
      <c r="B865" s="90" t="s">
        <v>1685</v>
      </c>
      <c r="C865" s="142">
        <v>59812</v>
      </c>
      <c r="D865" s="118" t="str">
        <f>_xlfn.DISPIMG("ID_4C87BA24316E4833B952CDDFD73EE56C",1)</f>
        <v>=DISPIMG("ID_4C87BA24316E4833B952CDDFD73EE56C",1)</v>
      </c>
      <c r="E865" s="130">
        <v>0.9891</v>
      </c>
      <c r="F865" s="117" t="s">
        <v>23</v>
      </c>
      <c r="G865" s="118">
        <v>1</v>
      </c>
      <c r="H865" s="118"/>
      <c r="I865" s="117" t="s">
        <v>1677</v>
      </c>
      <c r="J865" s="117" t="s">
        <v>603</v>
      </c>
    </row>
    <row r="866" hidden="1" customHeight="1" spans="1:10">
      <c r="A866" s="2">
        <v>276</v>
      </c>
      <c r="B866" s="8" t="s">
        <v>1686</v>
      </c>
      <c r="C866" s="7" t="s">
        <v>1687</v>
      </c>
      <c r="D866" s="7" t="str">
        <f>_xlfn.DISPIMG("ID_DD0B76B2C4424A59AE316E21F52CAA44",1)</f>
        <v>=DISPIMG("ID_DD0B76B2C4424A59AE316E21F52CAA44",1)</v>
      </c>
      <c r="E866" s="22">
        <v>0.99</v>
      </c>
      <c r="F866" s="7" t="s">
        <v>50</v>
      </c>
      <c r="G866" s="7">
        <v>1</v>
      </c>
      <c r="H866" s="11" t="s">
        <v>13</v>
      </c>
      <c r="I866" s="11" t="s">
        <v>1677</v>
      </c>
      <c r="J866" s="5" t="s">
        <v>1688</v>
      </c>
    </row>
    <row r="867" hidden="1" customHeight="1" spans="1:10">
      <c r="A867" s="2">
        <v>277</v>
      </c>
      <c r="B867" s="8" t="s">
        <v>1689</v>
      </c>
      <c r="C867" s="7" t="s">
        <v>1690</v>
      </c>
      <c r="D867" s="7" t="str">
        <f>_xlfn.DISPIMG("ID_93D7F8F2BD7646C586B73CD2CFE43B33",1)</f>
        <v>=DISPIMG("ID_93D7F8F2BD7646C586B73CD2CFE43B33",1)</v>
      </c>
      <c r="E867" s="22">
        <v>0.98</v>
      </c>
      <c r="F867" s="7" t="s">
        <v>23</v>
      </c>
      <c r="G867" s="7">
        <v>1</v>
      </c>
      <c r="H867" s="11" t="s">
        <v>13</v>
      </c>
      <c r="I867" s="11" t="s">
        <v>1677</v>
      </c>
      <c r="J867" s="5" t="s">
        <v>606</v>
      </c>
    </row>
    <row r="868" hidden="1" customHeight="1" spans="1:10">
      <c r="A868" s="2">
        <v>278</v>
      </c>
      <c r="B868" s="7" t="s">
        <v>1691</v>
      </c>
      <c r="C868" s="7" t="s">
        <v>1692</v>
      </c>
      <c r="D868" s="7" t="str">
        <f>_xlfn.DISPIMG("ID_848DC94910274552A988D91126DA8BAB",1)</f>
        <v>=DISPIMG("ID_848DC94910274552A988D91126DA8BAB",1)</v>
      </c>
      <c r="E868" s="22">
        <v>0.95</v>
      </c>
      <c r="F868" s="7" t="s">
        <v>23</v>
      </c>
      <c r="G868" s="7">
        <v>1</v>
      </c>
      <c r="H868" s="11" t="s">
        <v>13</v>
      </c>
      <c r="I868" s="11" t="s">
        <v>1677</v>
      </c>
      <c r="J868" s="5" t="s">
        <v>1688</v>
      </c>
    </row>
    <row r="869" hidden="1" customHeight="1" spans="1:10">
      <c r="A869" s="2">
        <v>279</v>
      </c>
      <c r="B869" s="8" t="s">
        <v>1693</v>
      </c>
      <c r="C869" s="7" t="s">
        <v>1694</v>
      </c>
      <c r="D869" s="7" t="str">
        <f>_xlfn.DISPIMG("ID_D0B2B6254BF448BCBAF8DD94FA0EFA18",1)</f>
        <v>=DISPIMG("ID_D0B2B6254BF448BCBAF8DD94FA0EFA18",1)</v>
      </c>
      <c r="E869" s="22">
        <v>0.95</v>
      </c>
      <c r="F869" s="7" t="s">
        <v>23</v>
      </c>
      <c r="G869" s="7">
        <v>1</v>
      </c>
      <c r="H869" s="11" t="s">
        <v>13</v>
      </c>
      <c r="I869" s="11" t="s">
        <v>1677</v>
      </c>
      <c r="J869" s="5" t="s">
        <v>1688</v>
      </c>
    </row>
    <row r="870" hidden="1" customHeight="1" spans="1:10">
      <c r="A870" s="2">
        <v>280</v>
      </c>
      <c r="B870" s="8" t="s">
        <v>1695</v>
      </c>
      <c r="C870" s="7" t="s">
        <v>1696</v>
      </c>
      <c r="D870" s="7" t="str">
        <f>_xlfn.DISPIMG("ID_0F23B24B29D14CED96970FEDE9FE895A",1)</f>
        <v>=DISPIMG("ID_0F23B24B29D14CED96970FEDE9FE895A",1)</v>
      </c>
      <c r="E870" s="22">
        <v>0.98</v>
      </c>
      <c r="F870" s="7" t="s">
        <v>50</v>
      </c>
      <c r="G870" s="7">
        <v>1</v>
      </c>
      <c r="H870" s="11" t="s">
        <v>13</v>
      </c>
      <c r="I870" s="11" t="s">
        <v>1677</v>
      </c>
      <c r="J870" s="5" t="s">
        <v>1688</v>
      </c>
    </row>
    <row r="871" hidden="1" customHeight="1" spans="1:10">
      <c r="A871" s="2">
        <v>281</v>
      </c>
      <c r="B871" s="7" t="s">
        <v>1697</v>
      </c>
      <c r="C871" s="7" t="s">
        <v>1698</v>
      </c>
      <c r="D871" s="7" t="str">
        <f>_xlfn.DISPIMG("ID_2DD34A6B8ED243AAA391C38F9389F9E4",1)</f>
        <v>=DISPIMG("ID_2DD34A6B8ED243AAA391C38F9389F9E4",1)</v>
      </c>
      <c r="E871" s="7"/>
      <c r="F871" s="7" t="s">
        <v>1699</v>
      </c>
      <c r="G871" s="7">
        <v>1</v>
      </c>
      <c r="H871" s="11" t="s">
        <v>13</v>
      </c>
      <c r="I871" s="11" t="s">
        <v>1677</v>
      </c>
      <c r="J871" s="5" t="s">
        <v>1688</v>
      </c>
    </row>
    <row r="872" hidden="1" customHeight="1" spans="1:10">
      <c r="A872" s="2">
        <v>293</v>
      </c>
      <c r="B872" s="8" t="s">
        <v>1700</v>
      </c>
      <c r="C872" s="11" t="s">
        <v>1701</v>
      </c>
      <c r="D872" s="7" t="str">
        <f>_xlfn.DISPIMG("ID_A9638AA16FA44B28A824B4CE80EE8F9E",1)</f>
        <v>=DISPIMG("ID_A9638AA16FA44B28A824B4CE80EE8F9E",1)</v>
      </c>
      <c r="E872" s="23">
        <v>0.985</v>
      </c>
      <c r="F872" s="7" t="s">
        <v>12</v>
      </c>
      <c r="G872" s="7">
        <v>1</v>
      </c>
      <c r="H872" s="11" t="s">
        <v>13</v>
      </c>
      <c r="I872" s="11" t="s">
        <v>1677</v>
      </c>
      <c r="J872" s="5" t="s">
        <v>1115</v>
      </c>
    </row>
    <row r="873" hidden="1" customHeight="1" spans="1:10">
      <c r="A873" s="2">
        <v>321</v>
      </c>
      <c r="B873" s="153" t="s">
        <v>1702</v>
      </c>
      <c r="C873" s="5" t="s">
        <v>1703</v>
      </c>
      <c r="D873" s="2" t="str">
        <f>_xlfn.DISPIMG("ID_B8F17D0937DA4B179D47A460B4A6CD9B",1)</f>
        <v>=DISPIMG("ID_B8F17D0937DA4B179D47A460B4A6CD9B",1)</v>
      </c>
      <c r="E873" s="20">
        <v>0.98</v>
      </c>
      <c r="F873" s="5" t="s">
        <v>45</v>
      </c>
      <c r="G873" s="2">
        <v>1</v>
      </c>
      <c r="H873" s="5" t="s">
        <v>13</v>
      </c>
      <c r="I873" s="5" t="s">
        <v>1677</v>
      </c>
      <c r="J873" s="5" t="s">
        <v>1704</v>
      </c>
    </row>
    <row r="874" hidden="1" customHeight="1" spans="1:10">
      <c r="A874" s="2">
        <v>562</v>
      </c>
      <c r="B874" s="7" t="s">
        <v>1705</v>
      </c>
      <c r="C874" s="8" t="s">
        <v>1706</v>
      </c>
      <c r="D874" s="7" t="str">
        <f>_xlfn.DISPIMG("ID_8C43C679E8E64623B48B0FFFD5DDB9A6",1)</f>
        <v>=DISPIMG("ID_8C43C679E8E64623B48B0FFFD5DDB9A6",1)</v>
      </c>
      <c r="E874" s="22">
        <v>0.98</v>
      </c>
      <c r="F874" s="7" t="s">
        <v>23</v>
      </c>
      <c r="G874" s="7">
        <v>1</v>
      </c>
      <c r="H874" s="11" t="s">
        <v>13</v>
      </c>
      <c r="I874" s="11" t="s">
        <v>1677</v>
      </c>
      <c r="J874" s="11" t="s">
        <v>196</v>
      </c>
    </row>
    <row r="875" hidden="1" customHeight="1" spans="1:10">
      <c r="A875" s="2">
        <v>571</v>
      </c>
      <c r="B875" s="8" t="s">
        <v>1707</v>
      </c>
      <c r="C875" s="7" t="s">
        <v>1708</v>
      </c>
      <c r="D875" s="7" t="str">
        <f>_xlfn.DISPIMG("ID_620CFD1B2B9C42D68FEFE288B5C7A68F",1)</f>
        <v>=DISPIMG("ID_620CFD1B2B9C42D68FEFE288B5C7A68F",1)</v>
      </c>
      <c r="E875" s="22">
        <v>0.85</v>
      </c>
      <c r="F875" s="11" t="s">
        <v>50</v>
      </c>
      <c r="G875" s="7">
        <v>1</v>
      </c>
      <c r="H875" s="11" t="s">
        <v>13</v>
      </c>
      <c r="I875" s="11" t="s">
        <v>1677</v>
      </c>
      <c r="J875" s="11" t="s">
        <v>213</v>
      </c>
    </row>
    <row r="876" hidden="1" customHeight="1" spans="1:10">
      <c r="A876" s="2">
        <v>613</v>
      </c>
      <c r="B876" s="8" t="s">
        <v>1709</v>
      </c>
      <c r="C876" s="7" t="s">
        <v>1710</v>
      </c>
      <c r="D876" s="7" t="str">
        <f>_xlfn.DISPIMG("ID_1947E64DB1094A678F7366DAF7D7D26A",1)</f>
        <v>=DISPIMG("ID_1947E64DB1094A678F7366DAF7D7D26A",1)</v>
      </c>
      <c r="E876" s="22">
        <v>0.98</v>
      </c>
      <c r="F876" s="7" t="s">
        <v>45</v>
      </c>
      <c r="G876" s="7">
        <v>1</v>
      </c>
      <c r="H876" s="11" t="s">
        <v>13</v>
      </c>
      <c r="I876" s="11" t="s">
        <v>1677</v>
      </c>
      <c r="J876" s="11" t="s">
        <v>221</v>
      </c>
    </row>
    <row r="877" hidden="1" customHeight="1" spans="1:10">
      <c r="A877" s="2">
        <v>668</v>
      </c>
      <c r="B877" s="153" t="s">
        <v>1711</v>
      </c>
      <c r="C877" s="5" t="s">
        <v>1712</v>
      </c>
      <c r="D877" s="26" t="str">
        <f>_xlfn.DISPIMG("ID_958B51C47A704EF1B734371BAA188CAB",1)</f>
        <v>=DISPIMG("ID_958B51C47A704EF1B734371BAA188CAB",1)</v>
      </c>
      <c r="E877" s="26"/>
      <c r="F877" s="5" t="s">
        <v>27</v>
      </c>
      <c r="G877" s="26">
        <v>1</v>
      </c>
      <c r="H877" s="5" t="s">
        <v>13</v>
      </c>
      <c r="I877" s="11" t="s">
        <v>1677</v>
      </c>
      <c r="J877" s="5" t="s">
        <v>225</v>
      </c>
    </row>
    <row r="878" hidden="1" customHeight="1" spans="1:10">
      <c r="A878" s="2">
        <v>684</v>
      </c>
      <c r="B878" s="5" t="s">
        <v>1713</v>
      </c>
      <c r="C878" s="5" t="s">
        <v>1714</v>
      </c>
      <c r="D878" s="26" t="str">
        <f>_xlfn.DISPIMG("ID_B63310D719F2421F9C5159377896EF38",1)</f>
        <v>=DISPIMG("ID_B63310D719F2421F9C5159377896EF38",1)</v>
      </c>
      <c r="E878" s="22">
        <v>0.98</v>
      </c>
      <c r="F878" s="5" t="s">
        <v>23</v>
      </c>
      <c r="G878" s="26">
        <v>1</v>
      </c>
      <c r="H878" s="5" t="s">
        <v>13</v>
      </c>
      <c r="I878" s="11" t="s">
        <v>1677</v>
      </c>
      <c r="J878" s="5" t="s">
        <v>225</v>
      </c>
    </row>
    <row r="879" hidden="1" customHeight="1" spans="1:10">
      <c r="A879" s="2">
        <v>706</v>
      </c>
      <c r="B879" s="50" t="s">
        <v>1715</v>
      </c>
      <c r="C879" s="2" t="s">
        <v>1716</v>
      </c>
      <c r="D879" s="2" t="str">
        <f>_xlfn.DISPIMG("ID_6ADF6AFDD27145FA9E77F1958700FAFD",1)</f>
        <v>=DISPIMG("ID_6ADF6AFDD27145FA9E77F1958700FAFD",1)</v>
      </c>
      <c r="E879" s="20">
        <v>0.97</v>
      </c>
      <c r="F879" s="2" t="s">
        <v>12</v>
      </c>
      <c r="G879" s="2">
        <v>1</v>
      </c>
      <c r="H879" s="2" t="s">
        <v>272</v>
      </c>
      <c r="I879" s="2" t="s">
        <v>1717</v>
      </c>
      <c r="J879" s="2" t="s">
        <v>883</v>
      </c>
    </row>
    <row r="880" hidden="1" customHeight="1" spans="2:10">
      <c r="B880" s="31" t="s">
        <v>1718</v>
      </c>
      <c r="C880" s="31" t="s">
        <v>1719</v>
      </c>
      <c r="D880" s="31" t="e">
        <f>_xlfn.DISPIMG("ID_B2222AAC921D4D68A83C27F5236A96D9",1)</f>
        <v>#REF!</v>
      </c>
      <c r="E880" s="37">
        <v>0.9968</v>
      </c>
      <c r="F880" s="31" t="s">
        <v>27</v>
      </c>
      <c r="G880" s="31">
        <v>1</v>
      </c>
      <c r="H880" s="36" t="s">
        <v>272</v>
      </c>
      <c r="I880" s="32" t="s">
        <v>1717</v>
      </c>
      <c r="J880" s="31" t="s">
        <v>280</v>
      </c>
    </row>
    <row r="881" hidden="1" customHeight="1" spans="2:10">
      <c r="B881" s="31" t="s">
        <v>1720</v>
      </c>
      <c r="C881" s="31" t="s">
        <v>1721</v>
      </c>
      <c r="D881" s="31" t="e">
        <f>_xlfn.DISPIMG("ID_CE47A20806BC4C5FAB602E22DDD517FD",1)</f>
        <v>#REF!</v>
      </c>
      <c r="E881" s="35">
        <v>0.98</v>
      </c>
      <c r="F881" s="31" t="s">
        <v>23</v>
      </c>
      <c r="G881" s="31">
        <v>1</v>
      </c>
      <c r="H881" s="36" t="s">
        <v>272</v>
      </c>
      <c r="I881" s="32" t="s">
        <v>1717</v>
      </c>
      <c r="J881" s="31" t="s">
        <v>280</v>
      </c>
    </row>
    <row r="882" hidden="1" customHeight="1" spans="2:10">
      <c r="B882" s="32" t="s">
        <v>1722</v>
      </c>
      <c r="C882" s="31" t="s">
        <v>1723</v>
      </c>
      <c r="D882" s="31" t="e">
        <f>_xlfn.DISPIMG("ID_E860B5BC1E1C478089FE195F79862511",1)</f>
        <v>#REF!</v>
      </c>
      <c r="E882" s="35">
        <v>0.99</v>
      </c>
      <c r="F882" s="31" t="s">
        <v>45</v>
      </c>
      <c r="G882" s="31">
        <v>3</v>
      </c>
      <c r="H882" s="36" t="s">
        <v>272</v>
      </c>
      <c r="I882" s="32" t="s">
        <v>1717</v>
      </c>
      <c r="J882" s="31" t="s">
        <v>319</v>
      </c>
    </row>
    <row r="883" hidden="1" customHeight="1" spans="2:10">
      <c r="B883" s="54" t="s">
        <v>1724</v>
      </c>
      <c r="C883" s="31" t="s">
        <v>1725</v>
      </c>
      <c r="D883" s="31" t="e">
        <f>_xlfn.DISPIMG("ID_92680302650A42849BFA91C62E0CE0FB",1)</f>
        <v>#REF!</v>
      </c>
      <c r="E883" s="31"/>
      <c r="F883" s="31"/>
      <c r="G883" s="31">
        <v>1</v>
      </c>
      <c r="H883" s="36" t="s">
        <v>272</v>
      </c>
      <c r="I883" s="32" t="s">
        <v>1717</v>
      </c>
      <c r="J883" s="31" t="s">
        <v>280</v>
      </c>
    </row>
    <row r="884" hidden="1" customHeight="1" spans="2:10">
      <c r="B884" s="54" t="s">
        <v>1726</v>
      </c>
      <c r="C884" s="31" t="s">
        <v>1727</v>
      </c>
      <c r="D884" s="31" t="str">
        <f>_xlfn.DISPIMG("ID_A29AD8E2B82A468BA9744DE22C9AD0AA",1)</f>
        <v>=DISPIMG("ID_A29AD8E2B82A468BA9744DE22C9AD0AA",1)</v>
      </c>
      <c r="E884" s="35">
        <v>0.98</v>
      </c>
      <c r="F884" s="31" t="s">
        <v>45</v>
      </c>
      <c r="G884" s="31">
        <v>1</v>
      </c>
      <c r="H884" s="36" t="s">
        <v>272</v>
      </c>
      <c r="I884" s="32" t="s">
        <v>1717</v>
      </c>
      <c r="J884" s="31" t="s">
        <v>305</v>
      </c>
    </row>
    <row r="885" hidden="1" customHeight="1" spans="2:10">
      <c r="B885" s="54" t="s">
        <v>1728</v>
      </c>
      <c r="C885" s="31" t="s">
        <v>1729</v>
      </c>
      <c r="D885" s="31" t="str">
        <f>_xlfn.DISPIMG("ID_CF3192D76EBE480E950D4801E9ADB145",1)</f>
        <v>=DISPIMG("ID_CF3192D76EBE480E950D4801E9ADB145",1)</v>
      </c>
      <c r="E885" s="35">
        <v>0.6</v>
      </c>
      <c r="F885" s="31" t="s">
        <v>175</v>
      </c>
      <c r="G885" s="31">
        <v>1</v>
      </c>
      <c r="H885" s="36" t="s">
        <v>272</v>
      </c>
      <c r="I885" s="32" t="s">
        <v>1717</v>
      </c>
      <c r="J885" s="31" t="s">
        <v>305</v>
      </c>
    </row>
    <row r="886" hidden="1" customHeight="1" spans="2:10">
      <c r="B886" s="32" t="s">
        <v>1730</v>
      </c>
      <c r="C886" s="31" t="s">
        <v>1731</v>
      </c>
      <c r="D886" s="31" t="e">
        <f>_xlfn.DISPIMG("ID_7D6339A97C494A95B5EB0A34D726D44B",1)</f>
        <v>#REF!</v>
      </c>
      <c r="E886" s="31"/>
      <c r="F886" s="31" t="s">
        <v>75</v>
      </c>
      <c r="G886" s="31">
        <v>1</v>
      </c>
      <c r="H886" s="36" t="s">
        <v>272</v>
      </c>
      <c r="I886" s="32" t="s">
        <v>1717</v>
      </c>
      <c r="J886" s="31" t="s">
        <v>305</v>
      </c>
    </row>
    <row r="887" hidden="1" customHeight="1" spans="2:10">
      <c r="B887" s="32" t="s">
        <v>1732</v>
      </c>
      <c r="C887" s="31" t="s">
        <v>1733</v>
      </c>
      <c r="D887" s="31" t="e">
        <f>_xlfn.DISPIMG("ID_325640B0F2D5460482EFA57F365FBF6F",1)</f>
        <v>#REF!</v>
      </c>
      <c r="E887" s="35">
        <v>0.98</v>
      </c>
      <c r="F887" s="31" t="s">
        <v>23</v>
      </c>
      <c r="G887" s="31">
        <v>1</v>
      </c>
      <c r="H887" s="36" t="s">
        <v>272</v>
      </c>
      <c r="I887" s="32" t="s">
        <v>1717</v>
      </c>
      <c r="J887" s="31" t="s">
        <v>305</v>
      </c>
    </row>
    <row r="888" hidden="1" customHeight="1" spans="2:10">
      <c r="B888" s="32" t="s">
        <v>1734</v>
      </c>
      <c r="C888" s="31" t="s">
        <v>1735</v>
      </c>
      <c r="D888" s="30" t="str">
        <f>_xlfn.DISPIMG("ID_CDD8C0A7C0B4497DA25FA64DCF7FCC54",1)</f>
        <v>=DISPIMG("ID_CDD8C0A7C0B4497DA25FA64DCF7FCC54",1)</v>
      </c>
      <c r="E888" s="35">
        <v>0.99</v>
      </c>
      <c r="F888" s="31" t="s">
        <v>124</v>
      </c>
      <c r="G888" s="31">
        <v>3</v>
      </c>
      <c r="H888" s="36" t="s">
        <v>272</v>
      </c>
      <c r="I888" s="32" t="s">
        <v>1717</v>
      </c>
      <c r="J888" s="31" t="s">
        <v>305</v>
      </c>
    </row>
    <row r="889" hidden="1" customHeight="1" spans="2:10">
      <c r="B889" s="32" t="s">
        <v>1736</v>
      </c>
      <c r="C889" s="31" t="s">
        <v>1737</v>
      </c>
      <c r="D889" s="30" t="str">
        <f>_xlfn.DISPIMG("ID_BA083B9E7AB64266AFD6D4D0A9A3049D",1)</f>
        <v>=DISPIMG("ID_BA083B9E7AB64266AFD6D4D0A9A3049D",1)</v>
      </c>
      <c r="E889" s="35">
        <v>0.99</v>
      </c>
      <c r="F889" s="31" t="s">
        <v>68</v>
      </c>
      <c r="G889" s="31">
        <v>1</v>
      </c>
      <c r="H889" s="36" t="s">
        <v>272</v>
      </c>
      <c r="I889" s="32" t="s">
        <v>1717</v>
      </c>
      <c r="J889" s="31" t="s">
        <v>316</v>
      </c>
    </row>
    <row r="890" hidden="1" customHeight="1" spans="2:10">
      <c r="B890" s="32" t="s">
        <v>1738</v>
      </c>
      <c r="C890" s="55" t="s">
        <v>1739</v>
      </c>
      <c r="D890" s="30" t="e">
        <f>_xlfn.DISPIMG("ID_B2897D75CF454E6094D1FED65C01E59B",1)</f>
        <v>#REF!</v>
      </c>
      <c r="E890" s="37">
        <v>0.995</v>
      </c>
      <c r="F890" s="31" t="s">
        <v>57</v>
      </c>
      <c r="G890" s="31">
        <v>1</v>
      </c>
      <c r="H890" s="36" t="s">
        <v>272</v>
      </c>
      <c r="I890" s="32" t="s">
        <v>1717</v>
      </c>
      <c r="J890" s="31" t="s">
        <v>316</v>
      </c>
    </row>
    <row r="891" hidden="1" customHeight="1" spans="2:10">
      <c r="B891" s="32" t="s">
        <v>1724</v>
      </c>
      <c r="C891" s="31" t="s">
        <v>1725</v>
      </c>
      <c r="D891" s="30" t="e">
        <f>_xlfn.DISPIMG("ID_F98975EE49E34CD88BDDBC6FA3638096",1)</f>
        <v>#REF!</v>
      </c>
      <c r="E891" s="35">
        <v>0.98</v>
      </c>
      <c r="F891" s="31" t="s">
        <v>124</v>
      </c>
      <c r="G891" s="31">
        <v>1</v>
      </c>
      <c r="H891" s="36" t="s">
        <v>272</v>
      </c>
      <c r="I891" s="32" t="s">
        <v>1717</v>
      </c>
      <c r="J891" s="31" t="s">
        <v>370</v>
      </c>
    </row>
    <row r="892" customHeight="1" spans="1:10">
      <c r="A892" s="2">
        <v>323</v>
      </c>
      <c r="B892" s="5" t="s">
        <v>1740</v>
      </c>
      <c r="E892" s="20"/>
      <c r="J892" s="5" t="s">
        <v>611</v>
      </c>
    </row>
    <row r="893" customHeight="1" spans="1:10">
      <c r="A893" s="2">
        <v>340</v>
      </c>
      <c r="B893" s="5" t="s">
        <v>1741</v>
      </c>
      <c r="C893" s="5" t="s">
        <v>618</v>
      </c>
      <c r="D893" s="2" t="str">
        <f>_xlfn.DISPIMG("ID_B150901C154D4A37A7846B8797B7FE85",1)</f>
        <v>=DISPIMG("ID_B150901C154D4A37A7846B8797B7FE85",1)</v>
      </c>
      <c r="H893" s="11" t="s">
        <v>13</v>
      </c>
      <c r="J893" s="5" t="s">
        <v>20</v>
      </c>
    </row>
    <row r="894" customHeight="1" spans="1:10">
      <c r="A894" s="2">
        <v>359</v>
      </c>
      <c r="B894" s="5" t="s">
        <v>1742</v>
      </c>
      <c r="C894" s="5" t="s">
        <v>1743</v>
      </c>
      <c r="D894" s="2" t="str">
        <f>_xlfn.DISPIMG("ID_F8E18F153EBC45499D68155377FCBBFF",1)</f>
        <v>=DISPIMG("ID_F8E18F153EBC45499D68155377FCBBFF",1)</v>
      </c>
      <c r="J894" s="5" t="s">
        <v>463</v>
      </c>
    </row>
    <row r="895" customHeight="1" spans="1:10">
      <c r="A895" s="2">
        <v>360</v>
      </c>
      <c r="B895" s="5" t="s">
        <v>1744</v>
      </c>
      <c r="J895" s="5" t="s">
        <v>463</v>
      </c>
    </row>
    <row r="896" customHeight="1" spans="1:10">
      <c r="A896" s="2">
        <v>602</v>
      </c>
      <c r="B896" s="11" t="s">
        <v>260</v>
      </c>
      <c r="C896" s="11" t="s">
        <v>261</v>
      </c>
      <c r="D896" s="7"/>
      <c r="E896" s="22"/>
      <c r="F896" s="11" t="s">
        <v>50</v>
      </c>
      <c r="G896" s="7">
        <v>1</v>
      </c>
      <c r="H896" s="11" t="s">
        <v>13</v>
      </c>
      <c r="I896" s="154"/>
      <c r="J896" s="11" t="s">
        <v>221</v>
      </c>
    </row>
    <row r="897" customHeight="1" spans="2:10">
      <c r="B897" s="2" t="s">
        <v>1745</v>
      </c>
      <c r="C897" s="17" t="s">
        <v>1746</v>
      </c>
      <c r="E897" s="28">
        <v>0.99</v>
      </c>
      <c r="F897" s="5" t="s">
        <v>45</v>
      </c>
      <c r="G897" s="2">
        <v>1</v>
      </c>
      <c r="H897" s="5" t="s">
        <v>272</v>
      </c>
      <c r="J897" s="5" t="s">
        <v>104</v>
      </c>
    </row>
    <row r="898" customHeight="1" spans="2:10">
      <c r="B898" s="5" t="s">
        <v>1747</v>
      </c>
      <c r="C898" s="2" t="s">
        <v>1748</v>
      </c>
      <c r="D898" s="2" t="str">
        <f>_xlfn.DISPIMG("ID_3FC9EB8E74FC448B90D845BB4FB1709F",1)</f>
        <v>=DISPIMG("ID_3FC9EB8E74FC448B90D845BB4FB1709F",1)</v>
      </c>
      <c r="E898" s="28">
        <v>0.99</v>
      </c>
      <c r="F898" s="5" t="s">
        <v>68</v>
      </c>
      <c r="G898" s="2">
        <v>1</v>
      </c>
      <c r="H898" s="5" t="s">
        <v>272</v>
      </c>
      <c r="J898" s="5" t="s">
        <v>104</v>
      </c>
    </row>
    <row r="899" customHeight="1" spans="2:10">
      <c r="B899" s="2" t="s">
        <v>1749</v>
      </c>
      <c r="C899" s="5" t="s">
        <v>216</v>
      </c>
      <c r="E899" s="5" t="s">
        <v>1750</v>
      </c>
      <c r="F899" s="5" t="s">
        <v>45</v>
      </c>
      <c r="G899" s="2">
        <v>1</v>
      </c>
      <c r="H899" s="5" t="s">
        <v>272</v>
      </c>
      <c r="J899" s="5" t="s">
        <v>104</v>
      </c>
    </row>
    <row r="900" hidden="1" customHeight="1" spans="2:10">
      <c r="B900" s="5" t="s">
        <v>1751</v>
      </c>
      <c r="C900" s="155" t="s">
        <v>134</v>
      </c>
      <c r="D900" s="2" t="str">
        <f>_xlfn.DISPIMG("ID_F8421794999F47D6BD369E032F1384ED",1)</f>
        <v>=DISPIMG("ID_F8421794999F47D6BD369E032F1384ED",1)</v>
      </c>
      <c r="E900" s="20">
        <v>0.98</v>
      </c>
      <c r="F900" s="5" t="s">
        <v>175</v>
      </c>
      <c r="G900" s="2">
        <v>1</v>
      </c>
      <c r="H900" s="36" t="s">
        <v>272</v>
      </c>
      <c r="I900" s="32" t="s">
        <v>273</v>
      </c>
      <c r="J900" s="31" t="s">
        <v>370</v>
      </c>
    </row>
    <row r="901" hidden="1" customHeight="1" spans="2:10">
      <c r="B901" s="5" t="s">
        <v>1752</v>
      </c>
      <c r="C901" s="2" t="s">
        <v>1753</v>
      </c>
      <c r="D901" s="2" t="str">
        <f>_xlfn.DISPIMG("ID_46F3CE3210A341F1B20C5DFADB31E823",1)</f>
        <v>=DISPIMG("ID_46F3CE3210A341F1B20C5DFADB31E823",1)</v>
      </c>
      <c r="E901" s="20">
        <v>0.99</v>
      </c>
      <c r="F901" s="5" t="s">
        <v>175</v>
      </c>
      <c r="G901" s="2">
        <v>1</v>
      </c>
      <c r="H901" s="36" t="s">
        <v>272</v>
      </c>
      <c r="I901" s="32" t="s">
        <v>273</v>
      </c>
      <c r="J901" s="31" t="s">
        <v>370</v>
      </c>
    </row>
    <row r="902" hidden="1" customHeight="1" spans="2:10">
      <c r="B902" s="5" t="s">
        <v>1754</v>
      </c>
      <c r="C902" s="31" t="s">
        <v>1755</v>
      </c>
      <c r="D902" s="2" t="str">
        <f>_xlfn.DISPIMG("ID_E045B880D5B04159B5B18C727BD3F98B",1)</f>
        <v>=DISPIMG("ID_E045B880D5B04159B5B18C727BD3F98B",1)</v>
      </c>
      <c r="E902" s="20">
        <v>0.99</v>
      </c>
      <c r="F902" s="5" t="s">
        <v>1756</v>
      </c>
      <c r="G902" s="2">
        <v>1</v>
      </c>
      <c r="H902" s="36" t="s">
        <v>272</v>
      </c>
      <c r="I902" s="32" t="s">
        <v>273</v>
      </c>
      <c r="J902" s="31" t="s">
        <v>370</v>
      </c>
    </row>
    <row r="903" hidden="1" customHeight="1" spans="2:10">
      <c r="B903" s="5" t="s">
        <v>1757</v>
      </c>
      <c r="C903" s="2" t="s">
        <v>1758</v>
      </c>
      <c r="D903" s="2" t="str">
        <f>_xlfn.DISPIMG("ID_B6F0C8D3110B4BD6A2DA0AE20C5A2DEE",1)</f>
        <v>=DISPIMG("ID_B6F0C8D3110B4BD6A2DA0AE20C5A2DEE",1)</v>
      </c>
      <c r="E903" s="20">
        <v>0.98</v>
      </c>
      <c r="F903" s="5" t="s">
        <v>124</v>
      </c>
      <c r="G903" s="2">
        <v>1</v>
      </c>
      <c r="H903" s="36" t="s">
        <v>272</v>
      </c>
      <c r="I903" s="32" t="s">
        <v>273</v>
      </c>
      <c r="J903" s="31" t="s">
        <v>370</v>
      </c>
    </row>
    <row r="904" hidden="1" customHeight="1" spans="2:10">
      <c r="B904" s="5" t="s">
        <v>1759</v>
      </c>
      <c r="C904" s="2" t="s">
        <v>1760</v>
      </c>
      <c r="D904" s="2" t="str">
        <f>_xlfn.DISPIMG("ID_3AC4369405C2454CA04AD7508AB77E90",1)</f>
        <v>=DISPIMG("ID_3AC4369405C2454CA04AD7508AB77E90",1)</v>
      </c>
      <c r="E904" s="20">
        <v>0.97</v>
      </c>
      <c r="F904" s="5" t="s">
        <v>27</v>
      </c>
      <c r="G904" s="2">
        <v>1</v>
      </c>
      <c r="H904" s="36" t="s">
        <v>272</v>
      </c>
      <c r="I904" s="32" t="s">
        <v>273</v>
      </c>
      <c r="J904" s="31" t="s">
        <v>370</v>
      </c>
    </row>
    <row r="905" hidden="1" customHeight="1" spans="2:10">
      <c r="B905" s="5" t="s">
        <v>1761</v>
      </c>
      <c r="C905" s="2" t="s">
        <v>1762</v>
      </c>
      <c r="D905" s="2" t="str">
        <f>_xlfn.DISPIMG("ID_E7D4054C25CA43B39BDA84889E6F2B20",1)</f>
        <v>=DISPIMG("ID_E7D4054C25CA43B39BDA84889E6F2B20",1)</v>
      </c>
      <c r="E905" s="20">
        <v>0.98</v>
      </c>
      <c r="F905" s="5" t="s">
        <v>75</v>
      </c>
      <c r="G905" s="2">
        <v>1</v>
      </c>
      <c r="H905" s="36" t="s">
        <v>272</v>
      </c>
      <c r="I905" s="32" t="s">
        <v>273</v>
      </c>
      <c r="J905" s="31" t="s">
        <v>370</v>
      </c>
    </row>
    <row r="906" hidden="1" customHeight="1" spans="2:10">
      <c r="B906" s="5" t="s">
        <v>1763</v>
      </c>
      <c r="C906" s="2" t="s">
        <v>1764</v>
      </c>
      <c r="D906" s="2" t="str">
        <f>_xlfn.DISPIMG("ID_FC8042D2BFF0425C82D3FE6ACEE78150",1)</f>
        <v>=DISPIMG("ID_FC8042D2BFF0425C82D3FE6ACEE78150",1)</v>
      </c>
      <c r="E906" s="20">
        <v>0.98</v>
      </c>
      <c r="F906" s="5" t="s">
        <v>23</v>
      </c>
      <c r="G906" s="2">
        <v>1</v>
      </c>
      <c r="H906" s="36" t="s">
        <v>272</v>
      </c>
      <c r="I906" s="32" t="s">
        <v>273</v>
      </c>
      <c r="J906" s="31" t="s">
        <v>370</v>
      </c>
    </row>
    <row r="907" hidden="1" customHeight="1" spans="2:10">
      <c r="B907" s="5" t="s">
        <v>1765</v>
      </c>
      <c r="C907" s="2" t="s">
        <v>1766</v>
      </c>
      <c r="D907" s="2" t="str">
        <f>_xlfn.DISPIMG("ID_3C099A8782C04DFC8D889B6A58A273D2",1)</f>
        <v>=DISPIMG("ID_3C099A8782C04DFC8D889B6A58A273D2",1)</v>
      </c>
      <c r="E907" s="20">
        <v>0.99</v>
      </c>
      <c r="F907" s="5" t="s">
        <v>45</v>
      </c>
      <c r="G907" s="2">
        <v>1</v>
      </c>
      <c r="H907" s="36" t="s">
        <v>272</v>
      </c>
      <c r="I907" s="32" t="s">
        <v>273</v>
      </c>
      <c r="J907" s="31" t="s">
        <v>370</v>
      </c>
    </row>
    <row r="908" hidden="1" customHeight="1" spans="2:10">
      <c r="B908" s="5" t="s">
        <v>1767</v>
      </c>
      <c r="C908" s="5" t="s">
        <v>1721</v>
      </c>
      <c r="D908" s="2" t="str">
        <f>_xlfn.DISPIMG("ID_114A0744989B4037B1AA10C9359A0A82",1)</f>
        <v>=DISPIMG("ID_114A0744989B4037B1AA10C9359A0A82",1)</v>
      </c>
      <c r="E908" s="20">
        <v>0.98</v>
      </c>
      <c r="F908" s="5" t="s">
        <v>27</v>
      </c>
      <c r="G908" s="2">
        <v>1</v>
      </c>
      <c r="H908" s="36" t="s">
        <v>272</v>
      </c>
      <c r="I908" s="5" t="s">
        <v>1768</v>
      </c>
      <c r="J908" s="5" t="s">
        <v>1769</v>
      </c>
    </row>
    <row r="909" hidden="1" customHeight="1" spans="2:10">
      <c r="B909" s="5" t="s">
        <v>1770</v>
      </c>
      <c r="C909" s="5" t="s">
        <v>901</v>
      </c>
      <c r="D909" s="2" t="str">
        <f>_xlfn.DISPIMG("ID_15DBB1A017384B3C930A17BED73F8D51",1)</f>
        <v>=DISPIMG("ID_15DBB1A017384B3C930A17BED73F8D51",1)</v>
      </c>
      <c r="E909" s="20">
        <v>0.98</v>
      </c>
      <c r="F909" s="5" t="s">
        <v>23</v>
      </c>
      <c r="G909" s="2">
        <v>1</v>
      </c>
      <c r="H909" s="36" t="s">
        <v>272</v>
      </c>
      <c r="I909" s="5" t="s">
        <v>1768</v>
      </c>
      <c r="J909" s="5" t="s">
        <v>1769</v>
      </c>
    </row>
    <row r="910" hidden="1" customHeight="1" spans="2:10">
      <c r="B910" s="5" t="s">
        <v>1771</v>
      </c>
      <c r="C910" s="5" t="s">
        <v>1772</v>
      </c>
      <c r="D910" s="2" t="str">
        <f>_xlfn.DISPIMG("ID_DF55DD9DDDE4413AA4CE30FA8C05F1C7",1)</f>
        <v>=DISPIMG("ID_DF55DD9DDDE4413AA4CE30FA8C05F1C7",1)</v>
      </c>
      <c r="E910" s="20">
        <v>0.98</v>
      </c>
      <c r="F910" s="5" t="s">
        <v>27</v>
      </c>
      <c r="G910" s="2">
        <v>1</v>
      </c>
      <c r="H910" s="36" t="s">
        <v>272</v>
      </c>
      <c r="I910" s="5" t="s">
        <v>1768</v>
      </c>
      <c r="J910" s="5" t="s">
        <v>1769</v>
      </c>
    </row>
    <row r="911" hidden="1" customHeight="1" spans="2:10">
      <c r="B911" s="5" t="s">
        <v>1773</v>
      </c>
      <c r="C911" s="5" t="s">
        <v>905</v>
      </c>
      <c r="D911" s="2" t="str">
        <f>_xlfn.DISPIMG("ID_62E5ABC7FE864E6092A15CFEF79C6EE4",1)</f>
        <v>=DISPIMG("ID_62E5ABC7FE864E6092A15CFEF79C6EE4",1)</v>
      </c>
      <c r="E911" s="20">
        <v>0.98</v>
      </c>
      <c r="F911" s="5" t="s">
        <v>27</v>
      </c>
      <c r="G911" s="2">
        <v>1</v>
      </c>
      <c r="H911" s="36" t="s">
        <v>272</v>
      </c>
      <c r="I911" s="5" t="s">
        <v>1768</v>
      </c>
      <c r="J911" s="5" t="s">
        <v>1769</v>
      </c>
    </row>
    <row r="912" hidden="1" customHeight="1" spans="2:10">
      <c r="B912" s="5" t="s">
        <v>1774</v>
      </c>
      <c r="C912" s="5" t="s">
        <v>1775</v>
      </c>
      <c r="D912" s="2" t="str">
        <f>_xlfn.DISPIMG("ID_F1D9D961F951486CB291FFD4FB694EA6",1)</f>
        <v>=DISPIMG("ID_F1D9D961F951486CB291FFD4FB694EA6",1)</v>
      </c>
      <c r="E912" s="20">
        <v>0.97</v>
      </c>
      <c r="F912" s="5" t="s">
        <v>27</v>
      </c>
      <c r="G912" s="2">
        <v>1</v>
      </c>
      <c r="H912" s="36" t="s">
        <v>272</v>
      </c>
      <c r="I912" s="5" t="s">
        <v>1768</v>
      </c>
      <c r="J912" s="5" t="s">
        <v>1769</v>
      </c>
    </row>
    <row r="913" hidden="1" customHeight="1" spans="2:10">
      <c r="B913" s="5" t="s">
        <v>1776</v>
      </c>
      <c r="C913" s="5" t="s">
        <v>1777</v>
      </c>
      <c r="D913" s="2" t="str">
        <f>_xlfn.DISPIMG("ID_A185434BDB9A4AA9B5E038F5CC9C8484",1)</f>
        <v>=DISPIMG("ID_A185434BDB9A4AA9B5E038F5CC9C8484",1)</v>
      </c>
      <c r="E913" s="20">
        <v>0.97</v>
      </c>
      <c r="F913" s="5" t="s">
        <v>1778</v>
      </c>
      <c r="G913" s="2">
        <v>1</v>
      </c>
      <c r="H913" s="36" t="s">
        <v>272</v>
      </c>
      <c r="I913" s="5" t="s">
        <v>1768</v>
      </c>
      <c r="J913" s="5" t="s">
        <v>1769</v>
      </c>
    </row>
    <row r="914" hidden="1" customHeight="1" spans="2:10">
      <c r="B914" s="5" t="s">
        <v>1779</v>
      </c>
      <c r="C914" s="5" t="s">
        <v>1780</v>
      </c>
      <c r="D914" s="2" t="str">
        <f>_xlfn.DISPIMG("ID_2102024B2EE043878FB86CC6E1DED496",1)</f>
        <v>=DISPIMG("ID_2102024B2EE043878FB86CC6E1DED496",1)</v>
      </c>
      <c r="E914" s="20">
        <v>0.98</v>
      </c>
      <c r="F914" s="5" t="s">
        <v>27</v>
      </c>
      <c r="G914" s="2">
        <v>1</v>
      </c>
      <c r="H914" s="36" t="s">
        <v>272</v>
      </c>
      <c r="I914" s="5" t="s">
        <v>1768</v>
      </c>
      <c r="J914" s="5" t="s">
        <v>1769</v>
      </c>
    </row>
    <row r="915" hidden="1" customHeight="1" spans="2:10">
      <c r="B915" s="5" t="s">
        <v>1781</v>
      </c>
      <c r="C915" s="5" t="s">
        <v>1782</v>
      </c>
      <c r="D915" s="2" t="str">
        <f>_xlfn.DISPIMG("ID_11F304F0D7D24641BAEF2EB4ED6DC0E6",1)</f>
        <v>=DISPIMG("ID_11F304F0D7D24641BAEF2EB4ED6DC0E6",1)</v>
      </c>
      <c r="E915" s="20">
        <v>0.95</v>
      </c>
      <c r="F915" s="5" t="s">
        <v>27</v>
      </c>
      <c r="G915" s="2">
        <v>1</v>
      </c>
      <c r="H915" s="36" t="s">
        <v>272</v>
      </c>
      <c r="I915" s="5" t="s">
        <v>1768</v>
      </c>
      <c r="J915" s="5" t="s">
        <v>1769</v>
      </c>
    </row>
    <row r="916" hidden="1" customHeight="1" spans="2:10">
      <c r="B916" s="5" t="s">
        <v>1783</v>
      </c>
      <c r="C916" s="5" t="s">
        <v>1784</v>
      </c>
      <c r="D916" s="2" t="str">
        <f>_xlfn.DISPIMG("ID_EF0D49D43EE64DEA955A287650B7DD66",1)</f>
        <v>=DISPIMG("ID_EF0D49D43EE64DEA955A287650B7DD66",1)</v>
      </c>
      <c r="E916" s="20">
        <v>0.98</v>
      </c>
      <c r="F916" s="5" t="s">
        <v>27</v>
      </c>
      <c r="G916" s="2">
        <v>1</v>
      </c>
      <c r="H916" s="36" t="s">
        <v>272</v>
      </c>
      <c r="I916" s="5" t="s">
        <v>1768</v>
      </c>
      <c r="J916" s="5" t="s">
        <v>1769</v>
      </c>
    </row>
    <row r="917" hidden="1" customHeight="1" spans="2:10">
      <c r="B917" s="5" t="s">
        <v>1785</v>
      </c>
      <c r="C917" s="5" t="s">
        <v>1786</v>
      </c>
      <c r="D917" s="2" t="str">
        <f>_xlfn.DISPIMG("ID_DC33EDA844CD448FB447390AA0E5AD85",1)</f>
        <v>=DISPIMG("ID_DC33EDA844CD448FB447390AA0E5AD85",1)</v>
      </c>
      <c r="E917" s="20">
        <v>0.98</v>
      </c>
      <c r="F917" s="5" t="s">
        <v>27</v>
      </c>
      <c r="G917" s="2">
        <v>1</v>
      </c>
      <c r="H917" s="36" t="s">
        <v>272</v>
      </c>
      <c r="I917" s="5" t="s">
        <v>1768</v>
      </c>
      <c r="J917" s="5" t="s">
        <v>1769</v>
      </c>
    </row>
    <row r="918" hidden="1" customHeight="1" spans="2:10">
      <c r="B918" s="5" t="s">
        <v>1787</v>
      </c>
      <c r="C918" s="5" t="s">
        <v>1788</v>
      </c>
      <c r="D918" s="2" t="str">
        <f>_xlfn.DISPIMG("ID_CE98EAB9360C465F92B3136EF27682AD",1)</f>
        <v>=DISPIMG("ID_CE98EAB9360C465F92B3136EF27682AD",1)</v>
      </c>
      <c r="E918" s="20">
        <v>0.98</v>
      </c>
      <c r="F918" s="5" t="s">
        <v>27</v>
      </c>
      <c r="G918" s="2">
        <v>1</v>
      </c>
      <c r="H918" s="36" t="s">
        <v>272</v>
      </c>
      <c r="I918" s="5" t="s">
        <v>1768</v>
      </c>
      <c r="J918" s="5" t="s">
        <v>1769</v>
      </c>
    </row>
    <row r="919" hidden="1" customHeight="1" spans="2:10">
      <c r="B919" s="5" t="s">
        <v>1789</v>
      </c>
      <c r="C919" s="5" t="s">
        <v>1790</v>
      </c>
      <c r="D919" s="2" t="str">
        <f>_xlfn.DISPIMG("ID_F26A2BEDE50649E685E40A3A9D316896",1)</f>
        <v>=DISPIMG("ID_F26A2BEDE50649E685E40A3A9D316896",1)</v>
      </c>
      <c r="E919" s="20">
        <v>0.96</v>
      </c>
      <c r="F919" s="5" t="s">
        <v>27</v>
      </c>
      <c r="G919" s="2">
        <v>1</v>
      </c>
      <c r="H919" s="36" t="s">
        <v>272</v>
      </c>
      <c r="I919" s="5" t="s">
        <v>1768</v>
      </c>
      <c r="J919" s="5" t="s">
        <v>1769</v>
      </c>
    </row>
    <row r="920" hidden="1" customHeight="1" spans="2:10">
      <c r="B920" s="5" t="s">
        <v>1791</v>
      </c>
      <c r="C920" s="5" t="s">
        <v>1792</v>
      </c>
      <c r="D920" s="2" t="str">
        <f>_xlfn.DISPIMG("ID_A00522E527E24094B387CDF94C476575",1)</f>
        <v>=DISPIMG("ID_A00522E527E24094B387CDF94C476575",1)</v>
      </c>
      <c r="E920" s="20">
        <v>0.98</v>
      </c>
      <c r="F920" s="5" t="s">
        <v>27</v>
      </c>
      <c r="G920" s="2">
        <v>1</v>
      </c>
      <c r="H920" s="36" t="s">
        <v>272</v>
      </c>
      <c r="I920" s="5" t="s">
        <v>1768</v>
      </c>
      <c r="J920" s="5" t="s">
        <v>1769</v>
      </c>
    </row>
    <row r="921" hidden="1" customHeight="1" spans="2:10">
      <c r="B921" s="5" t="s">
        <v>1793</v>
      </c>
      <c r="C921" s="5" t="s">
        <v>1794</v>
      </c>
      <c r="D921" s="2" t="str">
        <f>_xlfn.DISPIMG("ID_7D81BDB866AF423A9301535A6759746A",1)</f>
        <v>=DISPIMG("ID_7D81BDB866AF423A9301535A6759746A",1)</v>
      </c>
      <c r="E921" s="20">
        <v>0.95</v>
      </c>
      <c r="F921" s="5" t="s">
        <v>27</v>
      </c>
      <c r="G921" s="2">
        <v>1</v>
      </c>
      <c r="H921" s="36" t="s">
        <v>272</v>
      </c>
      <c r="I921" s="5" t="s">
        <v>1768</v>
      </c>
      <c r="J921" s="5" t="s">
        <v>1769</v>
      </c>
    </row>
    <row r="922" hidden="1" customHeight="1" spans="2:10">
      <c r="B922" s="5" t="s">
        <v>1795</v>
      </c>
      <c r="C922" s="5" t="s">
        <v>1796</v>
      </c>
      <c r="D922" s="2" t="str">
        <f>_xlfn.DISPIMG("ID_58399E90BCF6468A82D70C1D841879C1",1)</f>
        <v>=DISPIMG("ID_58399E90BCF6468A82D70C1D841879C1",1)</v>
      </c>
      <c r="E922" s="20">
        <v>0.98</v>
      </c>
      <c r="F922" s="5" t="s">
        <v>27</v>
      </c>
      <c r="G922" s="2">
        <v>1</v>
      </c>
      <c r="H922" s="36" t="s">
        <v>272</v>
      </c>
      <c r="I922" s="5" t="s">
        <v>1768</v>
      </c>
      <c r="J922" s="5" t="s">
        <v>1769</v>
      </c>
    </row>
    <row r="923" hidden="1" customHeight="1" spans="2:10">
      <c r="B923" s="5" t="s">
        <v>1797</v>
      </c>
      <c r="C923" s="5" t="s">
        <v>1798</v>
      </c>
      <c r="E923" s="20"/>
      <c r="F923" s="5" t="s">
        <v>175</v>
      </c>
      <c r="G923" s="2">
        <v>1</v>
      </c>
      <c r="H923" s="5" t="s">
        <v>272</v>
      </c>
      <c r="I923" s="5" t="s">
        <v>273</v>
      </c>
      <c r="J923" s="5" t="s">
        <v>1799</v>
      </c>
    </row>
  </sheetData>
  <sheetProtection formatCells="0" insertHyperlinks="0" autoFilter="0"/>
  <autoFilter xmlns:etc="http://www.wps.cn/officeDocument/2017/etCustomData" ref="A1:K923" etc:filterBottomFollowUsedRange="1">
    <filterColumn colId="8">
      <filters blank="1"/>
    </filterColumn>
    <extLst/>
  </autoFilter>
  <hyperlinks>
    <hyperlink ref="C726" r:id="rId1" display="7487-88-9" tooltip="https://www.aladdin-e.com/zh_cn/catalogsearch/result/?q=7487-88-9"/>
    <hyperlink ref="C683" r:id="rId2" display="15244-10-7" tooltip="https://www.aladdin-e.com/zh_cn/catalogsearch/result/?q=15244-10-7"/>
    <hyperlink ref="C687" r:id="rId3" display="7778-18-9" tooltip="https://www.aladdin-e.com/zh_cn/catalogsearch/result/?q=7778-18-9"/>
    <hyperlink ref="C729" r:id="rId4" display="1313-82-2" tooltip="https://www.aladdin-e.com/zh_cn/catalogsearch/result/?q=1313-82-2"/>
    <hyperlink ref="C751" r:id="rId5" display="1309-37-1" tooltip="https://www.aladdin-e.com/zh_cn/catalogsearch/result/?q=1309-37-1"/>
    <hyperlink ref="C752" r:id="rId6" display="7440-66-6" tooltip="https://www.aladdin-e.com/zh_cn/catalogsearch/result/?q=7440-66-6(powder)"/>
    <hyperlink ref="C753" r:id="rId7" display="7553-56-2" tooltip="https://www.aladdin-e.com/zh_cn/catalogsearch/result/?q=7553-56-2"/>
    <hyperlink ref="C584" r:id="rId8" display="103-82-2" tooltip="https://www.chemsrc.com/baike/121147.html"/>
    <hyperlink ref="C487" r:id="rId9" display="16009-13-5" tooltip="http://www.ichemistry.cn/chemistry/16009-13-5.htm"/>
    <hyperlink ref="C494" r:id="rId10" display="121-33-5" tooltip="http://www.ichemistry.cn/chemistry/121-33-5.htm"/>
  </hyperlinks>
  <pageMargins left="0.448611111111111" right="0.590277777777778" top="0.751388888888889" bottom="0.751388888888889" header="0.298611111111111" footer="0.298611111111111"/>
  <pageSetup paperSize="9" orientation="portrait" horizontalDpi="60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8.88970588235294" defaultRowHeight="16.8"/>
  <sheetData/>
  <sheetProtection formatCells="0" insertHyperlinks="0" autoFilter="0"/>
  <pageMargins left="0.75" right="0.75" top="1" bottom="1" header="0.5" footer="0.5"/>
  <headerFooter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' 1 . 0 '   e n c o d i n g = ' U T F - 8 '   s t a n d a l o n e = ' y e s ' ? > 
 < w o P r o p s   x m l n s = " h t t p s : / / w e b . w p s . c n / e t / 2 0 1 8 / m a i n "   x m l n s : s = " h t t p : / / s c h e m a s . o p e n x m l f o r m a t s . o r g / s p r e a d s h e e t m l / 2 0 0 6 / m a i n " > 
   < w o S h e e t s P r o p s > 
     < w o S h e e t P r o p s   i s D b D a s h B o a r d S h e e t = " 0 "   i s D b S h e e t = " 0 "   i s F l e x P a p e r S h e e t = " 0 "   i n t e r l i n e C o l o r = " 0 "   i n t e r l i n e O n O f f = " 0 "   s h e e t S t i d = " 2 "   i s D a s h B o a r d S h e e t = " 0 " > 
       < c e l l p r o t e c t i o n / > 
       < a p p E t D b R e l a t i o n s / > 
     < / w o S h e e t P r o p s > 
     < w o S h e e t P r o p s   i s D b D a s h B o a r d S h e e t = " 0 "   i s D b S h e e t = " 0 "   i s F l e x P a p e r S h e e t = " 0 "   i n t e r l i n e C o l o r = " 0 "   i n t e r l i n e O n O f f = " 0 "   s h e e t S t i d = " 3 "   i s D a s h B o a r d S h e e t = " 0 " > 
       < c e l l p r o t e c t i o n / > 
       < a p p E t D b R e l a t i o n s / > 
     < / w o S h e e t P r o p s > 
   < / w o S h e e t s P r o p s > 
   < w o B o o k P r o p s > 
     < b o o k S e t t i n g s   c o r e C o n q u e r U s e r I d = " "   f i l t e r T y p e = " c o n n "   f i l e I d = " "   i s M e r g e T a s k s A u t o U p d a t e = " 0 "   i s I n s e r P i c A s A t t a c h m e n t = " 0 "   i s F i l t e r S h a r e d = " 1 "   i s A u t o U p d a t e P a u s e d = " 0 " / > 
   < / w o B o o k P r o p s > 
 < / w o P r o p s > 
 
</file>

<file path=customXml/item2.xml>��< ? x m l   v e r s i o n = ' 1 . 0 '   e n c o d i n g = ' U T F - 8 '   s t a n d a l o n e = ' y e s ' ? > 
 < p i x e l a t o r s   x m l n s = " h t t p s : / / w e b . w p s . c n / e t / 2 0 1 8 / m a i n "   x m l n s : s = " h t t p : / / s c h e m a s . o p e n x m l f o r m a t s . o r g / s p r e a d s h e e t m l / 2 0 0 6 / m a i n " > 
   < p i x e l a t o r L i s t   s h e e t S t i d = " 2 " / > 
   < p i x e l a t o r L i s t   s h e e t S t i d = " 3 " / > 
   < p i x e l a t o r L i s t   s h e e t S t i d = " 4 " / > 
 < / p i x e l a t o r s > 
 
</file>

<file path=customXml/itemProps1.xml><?xml version="1.0" encoding="utf-8"?>
<ds:datastoreItem xmlns:ds="http://schemas.openxmlformats.org/officeDocument/2006/customXml" ds:itemID="{06C82605-B75B-4693-9329-32AAD527C692}">
  <ds:schemaRefs/>
</ds:datastoreItem>
</file>

<file path=customXml/itemProps2.xml><?xml version="1.0" encoding="utf-8"?>
<ds:datastoreItem xmlns:ds="http://schemas.openxmlformats.org/officeDocument/2006/customXml" ds:itemID="{224D003E-15C9-4FFE-AB16-9E66474EAE4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WPS Office WWO_wpscloud_20250206155222-5ccb823cdd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WpsReserved_CellImgList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CharlieBU</cp:lastModifiedBy>
  <dcterms:created xsi:type="dcterms:W3CDTF">2023-10-30T12:02:00Z</dcterms:created>
  <dcterms:modified xsi:type="dcterms:W3CDTF">2025-02-18T17:40:55Z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/>
  </property>
  <property fmtid="{D5CDD505-2E9C-101B-9397-08002B2CF9AE}" pid="3" name="KSOProductBuildVer">
    <vt:lpwstr>1033-6.13.2.8918</vt:lpwstr>
  </property>
</Properties>
</file>